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748" documentId="13_ncr:1_{AF40984D-3511-4479-8DAB-E5E8B5B605F7}" xr6:coauthVersionLast="47" xr6:coauthVersionMax="47" xr10:uidLastSave="{3C3678B6-0F2D-43FD-AC24-2233C2DF6B48}"/>
  <bookViews>
    <workbookView xWindow="-108" yWindow="-108" windowWidth="23256" windowHeight="13896" xr2:uid="{00000000-000D-0000-FFFF-FFFF00000000}"/>
  </bookViews>
  <sheets>
    <sheet name="14.1 (IRS CVA)" sheetId="13" r:id="rId1"/>
    <sheet name="14.2 (CVA+DVA)" sheetId="29" r:id="rId2"/>
    <sheet name="14.3 (Incremental CVA and DVA)" sheetId="30" r:id="rId3"/>
    <sheet name="14.4 (Marginal CVA and DVA)" sheetId="31" r:id="rId4"/>
  </sheets>
  <functionGroups builtInGroupCount="19"/>
  <definedNames>
    <definedName name="_xleta.TIME" hidden="1" xlm="1">#NAME?</definedName>
    <definedName name="BFactors">#REF!</definedName>
    <definedName name="CCTenor">'14.3 (Incremental CVA and DVA)'!$R$10:$R$15</definedName>
    <definedName name="CDSQuotes">#REF!</definedName>
    <definedName name="CDSTenors">#REF!</definedName>
    <definedName name="CntprtyLGD">'14.2 (CVA+DVA)'!$C$12</definedName>
    <definedName name="CntrptyCreditCurveTenor">'14.2 (CVA+DVA)'!$B$16:$B$21</definedName>
    <definedName name="CntrptyCreditCurveVal">'14.2 (CVA+DVA)'!$C$16:$C$21</definedName>
    <definedName name="CntrptyCS">'14.4 (Marginal CVA and DVA)'!$AE$11:$AE$16</definedName>
    <definedName name="CntrptySpread">'14.3 (Incremental CVA and DVA)'!$S$10:$S$15</definedName>
    <definedName name="CntrptySpreadCurve">'14.3 (Incremental CVA and DVA)'!$M$10</definedName>
    <definedName name="Contingent">#REF!</definedName>
    <definedName name="Correlation">#REF!</definedName>
    <definedName name="CorrelHRIR">#REF!</definedName>
    <definedName name="CreditCurveTenor">'14.1 (IRS CVA)'!$B$37:$B$42</definedName>
    <definedName name="CreditCurveVal">'14.1 (IRS CVA)'!$C$37:$C$42</definedName>
    <definedName name="CSTenor">'14.4 (Marginal CVA and DVA)'!$AD$11:$AD$16</definedName>
    <definedName name="DFcts">#REF!</definedName>
    <definedName name="Flat">'14.1 (IRS CVA)'!$X$18:$X$26</definedName>
    <definedName name="Flat100">'14.1 (IRS CVA)'!$AB$10:$AB$15</definedName>
    <definedName name="Flat150">'14.1 (IRS CVA)'!$AC$10:$AC$15</definedName>
    <definedName name="FwdRates">#REF!</definedName>
    <definedName name="HR0">#REF!</definedName>
    <definedName name="HRVol">#REF!</definedName>
    <definedName name="Humped">'14.1 (IRS CVA)'!$Y$18:$Y$26</definedName>
    <definedName name="IRVol" localSheetId="3">#REF!</definedName>
    <definedName name="IRVol">'14.1 (IRS CVA)'!$C$34</definedName>
    <definedName name="LGD">#REF!</definedName>
    <definedName name="LGD_C" localSheetId="3">'14.4 (Marginal CVA and DVA)'!$C$11</definedName>
    <definedName name="LGD_C">'14.3 (Incremental CVA and DVA)'!$M$11</definedName>
    <definedName name="LGD_Own" localSheetId="3">'14.4 (Marginal CVA and DVA)'!$D$11</definedName>
    <definedName name="LGD_Own">'14.3 (Incremental CVA and DVA)'!$N$11</definedName>
    <definedName name="MeanRvs" localSheetId="3">#REF!</definedName>
    <definedName name="MeanRvs">'14.1 (IRS CVA)'!$C$33</definedName>
    <definedName name="OwnCDSQuotes">#REF!</definedName>
    <definedName name="OwnCreditCurveVal">'14.2 (CVA+DVA)'!$D$16:$D$21</definedName>
    <definedName name="OwnCS">'14.4 (Marginal CVA and DVA)'!$AF$11:$AF$16</definedName>
    <definedName name="OwnLGD" localSheetId="3">#REF!</definedName>
    <definedName name="OwnLGD">'14.2 (CVA+DVA)'!$C$13</definedName>
    <definedName name="OwnSpread" localSheetId="3">'14.4 (Marginal CVA and DVA)'!$D$10</definedName>
    <definedName name="OwnSpread">'14.3 (Incremental CVA and DVA)'!$T$10:$T$15</definedName>
    <definedName name="OwnSpreadCurve">'14.3 (Incremental CVA and DVA)'!$N$10</definedName>
    <definedName name="Param1">#REF!</definedName>
    <definedName name="Param2">#REF!</definedName>
    <definedName name="PayRec" localSheetId="0">'14.1 (IRS CVA)'!$C$9</definedName>
    <definedName name="Spread" localSheetId="3">'14.4 (Marginal CVA and DVA)'!$C$10</definedName>
    <definedName name="Spread">#REF!</definedName>
    <definedName name="SwapRateSA">'14.1 (IRS CVA)'!$C$10</definedName>
    <definedName name="Upwards">'14.1 (IRS CVA)'!$Z$18:$Z$26</definedName>
    <definedName name="XXX">'14.1 (IRS CVA)'!$X$10:$X$15</definedName>
    <definedName name="YYY">'14.1 (IRS CVA)'!$Y$10:$Y$15</definedName>
    <definedName name="ZCRate">'14.1 (IRS CVA)'!$C$24:$C$32</definedName>
    <definedName name="ZCTime">'14.1 (IRS CVA)'!$B$24:$B$32</definedName>
    <definedName name="ZYX">'14.1 (IRS CVA)'!$AA$10:$AA$15</definedName>
    <definedName name="ZZZ">'14.1 (IRS CVA)'!$Z$10:$Z$15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11" i="31" l="1" a="1"/>
  <c r="AF11" i="31" a="1"/>
  <c r="S10" i="30" a="1"/>
  <c r="T10" i="30" a="1"/>
  <c r="C37" i="13" a="1"/>
  <c r="C37" i="13" l="1"/>
  <c r="AE11" i="31"/>
  <c r="AF11" i="31"/>
  <c r="S10" i="30"/>
  <c r="T10" i="30"/>
  <c r="V28" i="31" a="1"/>
  <c r="V18" i="31" a="1"/>
  <c r="V39" i="31" a="1"/>
  <c r="V38" i="31" a="1"/>
  <c r="U22" i="31" a="1"/>
  <c r="U26" i="31" a="1"/>
  <c r="U15" i="31" a="1"/>
  <c r="V20" i="31" a="1"/>
  <c r="V37" i="31" a="1"/>
  <c r="U18" i="31" a="1"/>
  <c r="V23" i="31" a="1"/>
  <c r="U29" i="31" a="1"/>
  <c r="V13" i="31" a="1"/>
  <c r="V15" i="31" a="1"/>
  <c r="U17" i="31" a="1"/>
  <c r="U40" i="31" a="1"/>
  <c r="V40" i="31" a="1"/>
  <c r="V19" i="31" a="1"/>
  <c r="V22" i="31" a="1"/>
  <c r="U24" i="31" a="1"/>
  <c r="U36" i="31" a="1"/>
  <c r="U30" i="31" a="1"/>
  <c r="U38" i="31" a="1"/>
  <c r="V32" i="31" a="1"/>
  <c r="V30" i="31" a="1"/>
  <c r="V17" i="31" a="1"/>
  <c r="U16" i="31" a="1"/>
  <c r="U28" i="31" a="1"/>
  <c r="U39" i="31" a="1"/>
  <c r="U25" i="31" a="1"/>
  <c r="V12" i="31" a="1"/>
  <c r="V24" i="31" a="1"/>
  <c r="V14" i="31" a="1"/>
  <c r="U31" i="31" a="1"/>
  <c r="U35" i="31" a="1"/>
  <c r="V16" i="31" a="1"/>
  <c r="U19" i="31" a="1"/>
  <c r="U27" i="31" a="1"/>
  <c r="V31" i="31" a="1"/>
  <c r="U14" i="31" a="1"/>
  <c r="V26" i="31" a="1"/>
  <c r="V33" i="31" a="1"/>
  <c r="U37" i="31" a="1"/>
  <c r="V27" i="31" a="1"/>
  <c r="U21" i="31" a="1"/>
  <c r="U12" i="31" a="1"/>
  <c r="V34" i="31" a="1"/>
  <c r="U20" i="31" a="1"/>
  <c r="U34" i="31" a="1"/>
  <c r="V21" i="31" a="1"/>
  <c r="V29" i="31" a="1"/>
  <c r="U23" i="31" a="1"/>
  <c r="V25" i="31" a="1"/>
  <c r="U33" i="31" a="1"/>
  <c r="V35" i="31" a="1"/>
  <c r="U13" i="31" a="1"/>
  <c r="U32" i="31" a="1"/>
  <c r="V36" i="31" a="1"/>
  <c r="V33" i="31" l="1"/>
  <c r="V37" i="31"/>
  <c r="V38" i="31"/>
  <c r="V29" i="31"/>
  <c r="V34" i="31"/>
  <c r="V17" i="31"/>
  <c r="V22" i="31"/>
  <c r="V15" i="31"/>
  <c r="V23" i="31"/>
  <c r="V31" i="31"/>
  <c r="V39" i="31"/>
  <c r="V21" i="31"/>
  <c r="V14" i="31"/>
  <c r="V30" i="31"/>
  <c r="V19" i="31"/>
  <c r="V27" i="31"/>
  <c r="V35" i="31"/>
  <c r="V25" i="31"/>
  <c r="V18" i="31"/>
  <c r="V16" i="31"/>
  <c r="V24" i="31"/>
  <c r="V32" i="31"/>
  <c r="V40" i="31"/>
  <c r="V13" i="31"/>
  <c r="V26" i="31"/>
  <c r="V20" i="31"/>
  <c r="V28" i="31"/>
  <c r="V36" i="31"/>
  <c r="V12" i="31"/>
  <c r="U12" i="31"/>
  <c r="U34" i="31"/>
  <c r="U25" i="31"/>
  <c r="U38" i="31"/>
  <c r="U17" i="31"/>
  <c r="U37" i="31"/>
  <c r="U18" i="31"/>
  <c r="U15" i="31"/>
  <c r="U27" i="31"/>
  <c r="U35" i="31"/>
  <c r="U39" i="31"/>
  <c r="U30" i="31"/>
  <c r="U21" i="31"/>
  <c r="U29" i="31"/>
  <c r="U14" i="31"/>
  <c r="U26" i="31"/>
  <c r="U23" i="31"/>
  <c r="U20" i="31"/>
  <c r="U28" i="31"/>
  <c r="U36" i="31"/>
  <c r="U40" i="31"/>
  <c r="U13" i="31"/>
  <c r="U33" i="31"/>
  <c r="U22" i="31"/>
  <c r="U19" i="31"/>
  <c r="U31" i="31"/>
  <c r="U16" i="31"/>
  <c r="U24" i="31"/>
  <c r="U32" i="31"/>
  <c r="F21" i="31" l="1"/>
  <c r="D21" i="31"/>
  <c r="D23" i="31" s="1"/>
  <c r="D22" i="31"/>
  <c r="C22" i="31" s="1"/>
  <c r="E21" i="31"/>
  <c r="E22" i="31"/>
  <c r="F22" i="31"/>
  <c r="F23" i="31" s="1"/>
  <c r="D16" i="31"/>
  <c r="C16" i="31" s="1"/>
  <c r="D15" i="31"/>
  <c r="D17" i="31" s="1"/>
  <c r="E16" i="31"/>
  <c r="F16" i="31"/>
  <c r="F17" i="31" s="1"/>
  <c r="E15" i="31"/>
  <c r="F15" i="31"/>
  <c r="H11" i="29" a="1"/>
  <c r="H11" i="29" s="1"/>
  <c r="G11" i="29" a="1"/>
  <c r="G11" i="29" s="1"/>
  <c r="J37" i="30" a="1"/>
  <c r="J18" i="30" a="1"/>
  <c r="I27" i="30" a="1"/>
  <c r="I35" i="30" a="1"/>
  <c r="J30" i="30" a="1"/>
  <c r="I24" i="30" a="1"/>
  <c r="I32" i="30" a="1"/>
  <c r="I19" i="30" a="1"/>
  <c r="J15" i="30" a="1"/>
  <c r="I23" i="30" a="1"/>
  <c r="I30" i="30" a="1"/>
  <c r="J36" i="30" a="1"/>
  <c r="I20" i="30" a="1"/>
  <c r="J29" i="30" a="1"/>
  <c r="I38" i="30" a="1"/>
  <c r="I33" i="30" a="1"/>
  <c r="J17" i="30" a="1"/>
  <c r="I34" i="30" a="1"/>
  <c r="I17" i="30" a="1"/>
  <c r="I13" i="30" a="1"/>
  <c r="J16" i="30" a="1"/>
  <c r="I21" i="30" a="1"/>
  <c r="J20" i="30" a="1"/>
  <c r="I31" i="30" a="1"/>
  <c r="J33" i="30" a="1"/>
  <c r="J34" i="30" a="1"/>
  <c r="I16" i="30" a="1"/>
  <c r="I39" i="30" a="1"/>
  <c r="J12" i="30" a="1"/>
  <c r="I36" i="30" a="1"/>
  <c r="I26" i="30" a="1"/>
  <c r="J23" i="30" a="1"/>
  <c r="J25" i="30" a="1"/>
  <c r="J11" i="30" a="1"/>
  <c r="I22" i="30" a="1"/>
  <c r="I15" i="30" a="1"/>
  <c r="I28" i="30" a="1"/>
  <c r="J19" i="30" a="1"/>
  <c r="I18" i="30" a="1"/>
  <c r="I37" i="30" a="1"/>
  <c r="J32" i="30" a="1"/>
  <c r="I29" i="30" a="1"/>
  <c r="J13" i="30" a="1"/>
  <c r="J38" i="30" a="1"/>
  <c r="I14" i="30" a="1"/>
  <c r="J22" i="30" a="1"/>
  <c r="J26" i="30" a="1"/>
  <c r="I12" i="30" a="1"/>
  <c r="J24" i="30" a="1"/>
  <c r="J39" i="30" a="1"/>
  <c r="I11" i="30" a="1"/>
  <c r="J21" i="30" a="1"/>
  <c r="J14" i="30" a="1"/>
  <c r="I25" i="30" a="1"/>
  <c r="J35" i="30" a="1"/>
  <c r="J27" i="30" a="1"/>
  <c r="J28" i="30" a="1"/>
  <c r="J31" i="30" a="1"/>
  <c r="C16" i="29" a="1"/>
  <c r="D16" i="29" a="1"/>
  <c r="C21" i="31" l="1"/>
  <c r="C23" i="31" s="1"/>
  <c r="E23" i="31"/>
  <c r="C15" i="31"/>
  <c r="E17" i="31"/>
  <c r="C17" i="31"/>
  <c r="I14" i="30"/>
  <c r="I28" i="30"/>
  <c r="J25" i="30"/>
  <c r="J34" i="30"/>
  <c r="J27" i="30"/>
  <c r="J29" i="30"/>
  <c r="I32" i="30"/>
  <c r="J21" i="30"/>
  <c r="J38" i="30"/>
  <c r="J31" i="30"/>
  <c r="J23" i="30"/>
  <c r="J33" i="30"/>
  <c r="J35" i="30"/>
  <c r="I20" i="30"/>
  <c r="I24" i="30"/>
  <c r="I11" i="30"/>
  <c r="J13" i="30"/>
  <c r="I17" i="30"/>
  <c r="I26" i="30"/>
  <c r="I31" i="30"/>
  <c r="J17" i="30"/>
  <c r="J36" i="30"/>
  <c r="J30" i="30"/>
  <c r="J39" i="30"/>
  <c r="I29" i="30"/>
  <c r="I15" i="30"/>
  <c r="I36" i="30"/>
  <c r="J20" i="30"/>
  <c r="I25" i="30"/>
  <c r="I30" i="30"/>
  <c r="I35" i="30"/>
  <c r="J24" i="30"/>
  <c r="J32" i="30"/>
  <c r="J28" i="30"/>
  <c r="J12" i="30"/>
  <c r="I21" i="30"/>
  <c r="I33" i="30"/>
  <c r="I23" i="30"/>
  <c r="I27" i="30"/>
  <c r="I12" i="30"/>
  <c r="I37" i="30"/>
  <c r="I34" i="30"/>
  <c r="I39" i="30"/>
  <c r="J16" i="30"/>
  <c r="J14" i="30"/>
  <c r="J15" i="30"/>
  <c r="J18" i="30"/>
  <c r="J26" i="30"/>
  <c r="I18" i="30"/>
  <c r="I22" i="30"/>
  <c r="I16" i="30"/>
  <c r="I13" i="30"/>
  <c r="I38" i="30"/>
  <c r="I19" i="30"/>
  <c r="J37" i="30"/>
  <c r="J22" i="30"/>
  <c r="J19" i="30"/>
  <c r="J11" i="30"/>
  <c r="D16" i="29"/>
  <c r="C16" i="29"/>
  <c r="B37" i="13" a="1"/>
  <c r="B37" i="13" s="1"/>
  <c r="I48" i="29" a="1"/>
  <c r="I25" i="29" a="1"/>
  <c r="I27" i="29" a="1"/>
  <c r="I26" i="29" a="1"/>
  <c r="I50" i="29" a="1"/>
  <c r="I21" i="29" a="1"/>
  <c r="I24" i="29" a="1"/>
  <c r="K48" i="29" a="1"/>
  <c r="I31" i="29" a="1"/>
  <c r="I13" i="29" a="1"/>
  <c r="K12" i="29" a="1"/>
  <c r="I15" i="29" a="1"/>
  <c r="I38" i="29" a="1"/>
  <c r="K35" i="29" a="1"/>
  <c r="I28" i="29" a="1"/>
  <c r="K27" i="29" a="1"/>
  <c r="K11" i="29" a="1"/>
  <c r="K19" i="29" a="1"/>
  <c r="I36" i="29" a="1"/>
  <c r="K32" i="29" a="1"/>
  <c r="I22" i="29" a="1"/>
  <c r="I29" i="29" a="1"/>
  <c r="K38" i="29" a="1"/>
  <c r="K13" i="29" a="1"/>
  <c r="K34" i="29" a="1"/>
  <c r="K50" i="29" a="1"/>
  <c r="I11" i="29" a="1"/>
  <c r="I14" i="29" a="1"/>
  <c r="K37" i="29" a="1"/>
  <c r="I46" i="29" a="1"/>
  <c r="K16" i="29" a="1"/>
  <c r="K22" i="29" a="1"/>
  <c r="K43" i="29" a="1"/>
  <c r="K21" i="29" a="1"/>
  <c r="K42" i="29" a="1"/>
  <c r="K15" i="29" a="1"/>
  <c r="K33" i="29" a="1"/>
  <c r="I19" i="29" a="1"/>
  <c r="I49" i="29" a="1"/>
  <c r="K25" i="29" a="1"/>
  <c r="I32" i="29" a="1"/>
  <c r="K17" i="29" a="1"/>
  <c r="K45" i="29" a="1"/>
  <c r="K46" i="29" a="1"/>
  <c r="K24" i="29" a="1"/>
  <c r="I42" i="29" a="1"/>
  <c r="K47" i="29" a="1"/>
  <c r="K26" i="29" a="1"/>
  <c r="K39" i="29" a="1"/>
  <c r="K30" i="29" a="1"/>
  <c r="K31" i="29" a="1"/>
  <c r="K51" i="29" a="1"/>
  <c r="K23" i="29" a="1"/>
  <c r="I39" i="29" a="1"/>
  <c r="I20" i="29" a="1"/>
  <c r="K14" i="29" a="1"/>
  <c r="I51" i="29" a="1"/>
  <c r="K20" i="29" a="1"/>
  <c r="I16" i="29" a="1"/>
  <c r="I30" i="29" a="1"/>
  <c r="K28" i="29" a="1"/>
  <c r="I40" i="29" a="1"/>
  <c r="K36" i="29" a="1"/>
  <c r="I44" i="29" a="1"/>
  <c r="K44" i="29" a="1"/>
  <c r="K40" i="29" a="1"/>
  <c r="K29" i="29" a="1"/>
  <c r="I34" i="29" a="1"/>
  <c r="I12" i="29" a="1"/>
  <c r="K49" i="29" a="1"/>
  <c r="I33" i="29" a="1"/>
  <c r="K18" i="29" a="1"/>
  <c r="I23" i="29" a="1"/>
  <c r="I18" i="29" a="1"/>
  <c r="I45" i="29" a="1"/>
  <c r="I35" i="29" a="1"/>
  <c r="K41" i="29" a="1"/>
  <c r="I47" i="29" a="1"/>
  <c r="I37" i="29" a="1"/>
  <c r="I43" i="29" a="1"/>
  <c r="I41" i="29" a="1"/>
  <c r="I17" i="29" a="1"/>
  <c r="M14" i="30" l="1"/>
  <c r="O14" i="30"/>
  <c r="N14" i="30"/>
  <c r="M15" i="30"/>
  <c r="O15" i="30"/>
  <c r="O16" i="30" s="1"/>
  <c r="N15" i="30"/>
  <c r="N16" i="30" s="1"/>
  <c r="I26" i="29"/>
  <c r="I11" i="29"/>
  <c r="K44" i="29"/>
  <c r="L44" i="29" s="1"/>
  <c r="K36" i="29"/>
  <c r="L36" i="29" s="1"/>
  <c r="K28" i="29"/>
  <c r="L28" i="29" s="1"/>
  <c r="K20" i="29"/>
  <c r="L20" i="29" s="1"/>
  <c r="K12" i="29"/>
  <c r="L12" i="29" s="1"/>
  <c r="K49" i="29"/>
  <c r="L49" i="29" s="1"/>
  <c r="K51" i="29"/>
  <c r="L51" i="29" s="1"/>
  <c r="K15" i="29"/>
  <c r="L15" i="29" s="1"/>
  <c r="K23" i="29"/>
  <c r="L23" i="29" s="1"/>
  <c r="K31" i="29"/>
  <c r="L31" i="29" s="1"/>
  <c r="K39" i="29"/>
  <c r="L39" i="29" s="1"/>
  <c r="K47" i="29"/>
  <c r="L47" i="29" s="1"/>
  <c r="K14" i="29"/>
  <c r="L14" i="29" s="1"/>
  <c r="K22" i="29"/>
  <c r="L22" i="29" s="1"/>
  <c r="K30" i="29"/>
  <c r="L30" i="29" s="1"/>
  <c r="K38" i="29"/>
  <c r="L38" i="29" s="1"/>
  <c r="K46" i="29"/>
  <c r="L46" i="29" s="1"/>
  <c r="K17" i="29"/>
  <c r="L17" i="29" s="1"/>
  <c r="K25" i="29"/>
  <c r="L25" i="29" s="1"/>
  <c r="K33" i="29"/>
  <c r="L33" i="29" s="1"/>
  <c r="K41" i="29"/>
  <c r="L41" i="29" s="1"/>
  <c r="K18" i="29"/>
  <c r="L18" i="29" s="1"/>
  <c r="K26" i="29"/>
  <c r="L26" i="29" s="1"/>
  <c r="K34" i="29"/>
  <c r="L34" i="29" s="1"/>
  <c r="K42" i="29"/>
  <c r="L42" i="29" s="1"/>
  <c r="K50" i="29"/>
  <c r="L50" i="29" s="1"/>
  <c r="K13" i="29"/>
  <c r="L13" i="29" s="1"/>
  <c r="K21" i="29"/>
  <c r="L21" i="29" s="1"/>
  <c r="K29" i="29"/>
  <c r="L29" i="29" s="1"/>
  <c r="K37" i="29"/>
  <c r="L37" i="29" s="1"/>
  <c r="K45" i="29"/>
  <c r="L45" i="29" s="1"/>
  <c r="K11" i="29"/>
  <c r="L11" i="29" s="1"/>
  <c r="K19" i="29"/>
  <c r="L19" i="29" s="1"/>
  <c r="K27" i="29"/>
  <c r="L27" i="29" s="1"/>
  <c r="K35" i="29"/>
  <c r="L35" i="29" s="1"/>
  <c r="K43" i="29"/>
  <c r="L43" i="29" s="1"/>
  <c r="K16" i="29"/>
  <c r="L16" i="29" s="1"/>
  <c r="K24" i="29"/>
  <c r="L24" i="29" s="1"/>
  <c r="K32" i="29"/>
  <c r="L32" i="29" s="1"/>
  <c r="K40" i="29"/>
  <c r="L40" i="29" s="1"/>
  <c r="K48" i="29"/>
  <c r="L48" i="29" s="1"/>
  <c r="I38" i="29"/>
  <c r="I50" i="29"/>
  <c r="I41" i="29"/>
  <c r="I29" i="29"/>
  <c r="I21" i="29"/>
  <c r="I13" i="29"/>
  <c r="I44" i="29"/>
  <c r="I36" i="29"/>
  <c r="I28" i="29"/>
  <c r="I20" i="29"/>
  <c r="I16" i="29"/>
  <c r="I15" i="29"/>
  <c r="I46" i="29"/>
  <c r="I42" i="29"/>
  <c r="I30" i="29"/>
  <c r="I49" i="29"/>
  <c r="I45" i="29"/>
  <c r="I37" i="29"/>
  <c r="I33" i="29"/>
  <c r="I25" i="29"/>
  <c r="I17" i="29"/>
  <c r="I48" i="29"/>
  <c r="I40" i="29"/>
  <c r="I32" i="29"/>
  <c r="I24" i="29"/>
  <c r="I12" i="29"/>
  <c r="I51" i="29"/>
  <c r="I47" i="29"/>
  <c r="I43" i="29"/>
  <c r="I39" i="29"/>
  <c r="I35" i="29"/>
  <c r="I31" i="29"/>
  <c r="I27" i="29"/>
  <c r="I23" i="29"/>
  <c r="I19" i="29"/>
  <c r="I34" i="29"/>
  <c r="I22" i="29"/>
  <c r="I18" i="29"/>
  <c r="I14" i="29"/>
  <c r="M10" i="13" a="1"/>
  <c r="M9" i="13" a="1"/>
  <c r="M10" i="13" l="1"/>
  <c r="C25" i="29"/>
  <c r="J17" i="29"/>
  <c r="J47" i="29"/>
  <c r="J21" i="29"/>
  <c r="J51" i="29"/>
  <c r="J22" i="29"/>
  <c r="J43" i="29"/>
  <c r="J42" i="29"/>
  <c r="J13" i="29"/>
  <c r="J34" i="29"/>
  <c r="J25" i="29"/>
  <c r="J46" i="29"/>
  <c r="J19" i="29"/>
  <c r="J33" i="29"/>
  <c r="J15" i="29"/>
  <c r="J29" i="29"/>
  <c r="J23" i="29"/>
  <c r="J12" i="29"/>
  <c r="J37" i="29"/>
  <c r="J16" i="29"/>
  <c r="J41" i="29"/>
  <c r="J27" i="29"/>
  <c r="J24" i="29"/>
  <c r="J45" i="29"/>
  <c r="J20" i="29"/>
  <c r="J50" i="29"/>
  <c r="J31" i="29"/>
  <c r="J32" i="29"/>
  <c r="J49" i="29"/>
  <c r="J28" i="29"/>
  <c r="J38" i="29"/>
  <c r="J14" i="29"/>
  <c r="J35" i="29"/>
  <c r="J40" i="29"/>
  <c r="J26" i="29"/>
  <c r="J36" i="29"/>
  <c r="J18" i="29"/>
  <c r="J39" i="29"/>
  <c r="J48" i="29"/>
  <c r="J30" i="29"/>
  <c r="J44" i="29"/>
  <c r="J11" i="29"/>
  <c r="M9" i="13"/>
  <c r="N9" i="13" s="1"/>
  <c r="C28" i="29" l="1"/>
  <c r="C27" i="29"/>
  <c r="C24" i="29"/>
  <c r="C26" i="29" s="1"/>
  <c r="B25" i="13"/>
  <c r="B24" i="13"/>
  <c r="C24" i="13" a="1"/>
  <c r="C29" i="29" l="1"/>
  <c r="C24" i="13"/>
  <c r="G9" i="13" a="1"/>
  <c r="G9" i="13" l="1"/>
  <c r="O9" i="13" l="1"/>
  <c r="E10" i="13" l="1"/>
  <c r="F10" i="13"/>
  <c r="G10" i="13" a="1"/>
  <c r="O10" i="13" l="1"/>
  <c r="G10" i="13"/>
  <c r="E11" i="13"/>
  <c r="F11" i="13"/>
  <c r="M11" i="13" a="1"/>
  <c r="G11" i="13" a="1"/>
  <c r="M11" i="13" l="1"/>
  <c r="O11" i="13" s="1"/>
  <c r="G11" i="13"/>
  <c r="N10" i="13"/>
  <c r="E12" i="13"/>
  <c r="F12" i="13"/>
  <c r="H10" i="13"/>
  <c r="I10" i="13"/>
  <c r="M12" i="13" a="1"/>
  <c r="G12" i="13" a="1"/>
  <c r="M12" i="13" l="1"/>
  <c r="N12" i="13" s="1"/>
  <c r="N11" i="13"/>
  <c r="G12" i="13"/>
  <c r="I11" i="13"/>
  <c r="E13" i="13"/>
  <c r="H11" i="13"/>
  <c r="F13" i="13"/>
  <c r="G13" i="13" a="1"/>
  <c r="M13" i="13" a="1"/>
  <c r="O12" i="13" l="1"/>
  <c r="M13" i="13"/>
  <c r="O13" i="13" s="1"/>
  <c r="G13" i="13"/>
  <c r="E14" i="13"/>
  <c r="F14" i="13"/>
  <c r="I12" i="13"/>
  <c r="H12" i="13"/>
  <c r="M14" i="13" a="1"/>
  <c r="G14" i="13" a="1"/>
  <c r="N13" i="13" l="1"/>
  <c r="M14" i="13"/>
  <c r="O14" i="13" s="1"/>
  <c r="G14" i="13"/>
  <c r="I13" i="13"/>
  <c r="E15" i="13"/>
  <c r="F15" i="13"/>
  <c r="H13" i="13"/>
  <c r="M15" i="13" a="1"/>
  <c r="G15" i="13" a="1"/>
  <c r="M15" i="13" l="1"/>
  <c r="O15" i="13" s="1"/>
  <c r="N14" i="13"/>
  <c r="G15" i="13"/>
  <c r="E16" i="13"/>
  <c r="I14" i="13"/>
  <c r="F16" i="13"/>
  <c r="H14" i="13"/>
  <c r="M16" i="13" a="1"/>
  <c r="G16" i="13" a="1"/>
  <c r="N15" i="13" l="1"/>
  <c r="M16" i="13"/>
  <c r="O16" i="13" s="1"/>
  <c r="G16" i="13"/>
  <c r="I15" i="13"/>
  <c r="E17" i="13"/>
  <c r="F17" i="13"/>
  <c r="H15" i="13"/>
  <c r="G17" i="13" a="1"/>
  <c r="M17" i="13" a="1"/>
  <c r="M17" i="13" l="1"/>
  <c r="O17" i="13" s="1"/>
  <c r="G17" i="13"/>
  <c r="N16" i="13"/>
  <c r="I16" i="13"/>
  <c r="E18" i="13"/>
  <c r="F18" i="13"/>
  <c r="H16" i="13"/>
  <c r="G18" i="13" a="1"/>
  <c r="M18" i="13" a="1"/>
  <c r="N17" i="13" l="1"/>
  <c r="M18" i="13"/>
  <c r="O18" i="13" s="1"/>
  <c r="G18" i="13"/>
  <c r="I17" i="13"/>
  <c r="E19" i="13"/>
  <c r="F19" i="13"/>
  <c r="H17" i="13"/>
  <c r="M19" i="13" a="1"/>
  <c r="G19" i="13" a="1"/>
  <c r="N18" i="13" l="1"/>
  <c r="M19" i="13"/>
  <c r="O19" i="13" s="1"/>
  <c r="G19" i="13"/>
  <c r="I18" i="13"/>
  <c r="E20" i="13"/>
  <c r="F20" i="13"/>
  <c r="H18" i="13"/>
  <c r="M20" i="13" a="1"/>
  <c r="G20" i="13" a="1"/>
  <c r="M20" i="13" l="1"/>
  <c r="O20" i="13" s="1"/>
  <c r="G20" i="13"/>
  <c r="N19" i="13"/>
  <c r="I19" i="13"/>
  <c r="E21" i="13"/>
  <c r="F21" i="13"/>
  <c r="H19" i="13"/>
  <c r="M21" i="13" a="1"/>
  <c r="G21" i="13" a="1"/>
  <c r="N20" i="13" l="1"/>
  <c r="M21" i="13"/>
  <c r="O21" i="13" s="1"/>
  <c r="G21" i="13"/>
  <c r="I20" i="13"/>
  <c r="E22" i="13"/>
  <c r="F22" i="13"/>
  <c r="H20" i="13"/>
  <c r="M22" i="13" a="1"/>
  <c r="G22" i="13" a="1"/>
  <c r="N21" i="13" l="1"/>
  <c r="M22" i="13"/>
  <c r="O22" i="13" s="1"/>
  <c r="G22" i="13"/>
  <c r="E23" i="13"/>
  <c r="I21" i="13"/>
  <c r="F23" i="13"/>
  <c r="H21" i="13"/>
  <c r="G23" i="13" a="1"/>
  <c r="M23" i="13" a="1"/>
  <c r="N22" i="13" l="1"/>
  <c r="M23" i="13"/>
  <c r="O23" i="13" s="1"/>
  <c r="G23" i="13"/>
  <c r="I22" i="13"/>
  <c r="E24" i="13"/>
  <c r="F24" i="13"/>
  <c r="H22" i="13"/>
  <c r="M24" i="13" a="1"/>
  <c r="G24" i="13" a="1"/>
  <c r="N23" i="13" l="1"/>
  <c r="M24" i="13"/>
  <c r="O24" i="13" s="1"/>
  <c r="G24" i="13"/>
  <c r="E25" i="13"/>
  <c r="I23" i="13"/>
  <c r="F25" i="13"/>
  <c r="H23" i="13"/>
  <c r="G25" i="13" a="1"/>
  <c r="M25" i="13" a="1"/>
  <c r="M25" i="13" l="1"/>
  <c r="O25" i="13" s="1"/>
  <c r="N24" i="13"/>
  <c r="G25" i="13"/>
  <c r="I24" i="13"/>
  <c r="E26" i="13"/>
  <c r="F26" i="13"/>
  <c r="H24" i="13"/>
  <c r="G26" i="13" a="1"/>
  <c r="M26" i="13" a="1"/>
  <c r="M26" i="13" l="1"/>
  <c r="O26" i="13" s="1"/>
  <c r="N25" i="13"/>
  <c r="G26" i="13"/>
  <c r="E27" i="13"/>
  <c r="I25" i="13"/>
  <c r="F27" i="13"/>
  <c r="H25" i="13"/>
  <c r="G27" i="13" a="1"/>
  <c r="M27" i="13" a="1"/>
  <c r="N26" i="13" l="1"/>
  <c r="M27" i="13"/>
  <c r="O27" i="13" s="1"/>
  <c r="G27" i="13"/>
  <c r="I26" i="13"/>
  <c r="E28" i="13"/>
  <c r="F28" i="13"/>
  <c r="H26" i="13"/>
  <c r="G28" i="13" a="1"/>
  <c r="M28" i="13" a="1"/>
  <c r="M28" i="13" l="1"/>
  <c r="O28" i="13" s="1"/>
  <c r="G28" i="13"/>
  <c r="N27" i="13"/>
  <c r="I27" i="13"/>
  <c r="E29" i="13"/>
  <c r="F29" i="13"/>
  <c r="H27" i="13"/>
  <c r="M29" i="13" a="1"/>
  <c r="G29" i="13" a="1"/>
  <c r="N28" i="13" l="1"/>
  <c r="M29" i="13"/>
  <c r="O29" i="13" s="1"/>
  <c r="G29" i="13"/>
  <c r="I28" i="13"/>
  <c r="E30" i="13"/>
  <c r="F30" i="13"/>
  <c r="H28" i="13"/>
  <c r="M30" i="13" a="1"/>
  <c r="G30" i="13" a="1"/>
  <c r="M30" i="13" l="1"/>
  <c r="N30" i="13" s="1"/>
  <c r="N29" i="13"/>
  <c r="G30" i="13"/>
  <c r="I29" i="13"/>
  <c r="E31" i="13"/>
  <c r="F31" i="13"/>
  <c r="H29" i="13"/>
  <c r="M31" i="13" a="1"/>
  <c r="G31" i="13" a="1"/>
  <c r="O30" i="13" l="1"/>
  <c r="M31" i="13"/>
  <c r="O31" i="13" s="1"/>
  <c r="G31" i="13"/>
  <c r="I30" i="13"/>
  <c r="E32" i="13"/>
  <c r="F32" i="13"/>
  <c r="H30" i="13"/>
  <c r="G32" i="13" a="1"/>
  <c r="M32" i="13" a="1"/>
  <c r="N31" i="13" l="1"/>
  <c r="M32" i="13"/>
  <c r="N32" i="13" s="1"/>
  <c r="G32" i="13"/>
  <c r="E33" i="13"/>
  <c r="I31" i="13"/>
  <c r="F33" i="13"/>
  <c r="H31" i="13"/>
  <c r="G33" i="13" a="1"/>
  <c r="M33" i="13" a="1"/>
  <c r="O32" i="13" l="1"/>
  <c r="M33" i="13"/>
  <c r="O33" i="13" s="1"/>
  <c r="G33" i="13"/>
  <c r="I32" i="13"/>
  <c r="E34" i="13"/>
  <c r="F34" i="13"/>
  <c r="H32" i="13"/>
  <c r="M34" i="13" a="1"/>
  <c r="G34" i="13" a="1"/>
  <c r="N33" i="13" l="1"/>
  <c r="M34" i="13"/>
  <c r="O34" i="13" s="1"/>
  <c r="G34" i="13"/>
  <c r="E35" i="13"/>
  <c r="I33" i="13"/>
  <c r="F35" i="13"/>
  <c r="H33" i="13"/>
  <c r="M35" i="13" a="1"/>
  <c r="G35" i="13" a="1"/>
  <c r="M35" i="13" l="1"/>
  <c r="O35" i="13" s="1"/>
  <c r="N34" i="13"/>
  <c r="G35" i="13"/>
  <c r="I34" i="13"/>
  <c r="E36" i="13"/>
  <c r="F36" i="13"/>
  <c r="H34" i="13"/>
  <c r="M36" i="13" a="1"/>
  <c r="G36" i="13" a="1"/>
  <c r="N35" i="13" l="1"/>
  <c r="M36" i="13"/>
  <c r="O36" i="13" s="1"/>
  <c r="G36" i="13"/>
  <c r="E37" i="13"/>
  <c r="I35" i="13"/>
  <c r="F37" i="13"/>
  <c r="H35" i="13"/>
  <c r="G37" i="13" a="1"/>
  <c r="M37" i="13" a="1"/>
  <c r="N36" i="13" l="1"/>
  <c r="M37" i="13"/>
  <c r="N37" i="13" s="1"/>
  <c r="G37" i="13"/>
  <c r="I36" i="13"/>
  <c r="E38" i="13"/>
  <c r="F38" i="13"/>
  <c r="H36" i="13"/>
  <c r="M38" i="13" a="1"/>
  <c r="G38" i="13" a="1"/>
  <c r="O37" i="13" l="1"/>
  <c r="M38" i="13"/>
  <c r="O38" i="13" s="1"/>
  <c r="G38" i="13"/>
  <c r="I37" i="13"/>
  <c r="E39" i="13"/>
  <c r="F39" i="13"/>
  <c r="H37" i="13"/>
  <c r="G39" i="13" a="1"/>
  <c r="M39" i="13" a="1"/>
  <c r="M39" i="13" l="1"/>
  <c r="O39" i="13" s="1"/>
  <c r="G39" i="13"/>
  <c r="N38" i="13"/>
  <c r="E40" i="13"/>
  <c r="I38" i="13"/>
  <c r="F40" i="13"/>
  <c r="H38" i="13"/>
  <c r="G40" i="13" a="1"/>
  <c r="M40" i="13" a="1"/>
  <c r="N39" i="13" l="1"/>
  <c r="M40" i="13"/>
  <c r="O40" i="13" s="1"/>
  <c r="G40" i="13"/>
  <c r="I39" i="13"/>
  <c r="E41" i="13"/>
  <c r="F41" i="13"/>
  <c r="H39" i="13"/>
  <c r="G41" i="13" a="1"/>
  <c r="M41" i="13" a="1"/>
  <c r="N40" i="13" l="1"/>
  <c r="M41" i="13"/>
  <c r="O41" i="13" s="1"/>
  <c r="G41" i="13"/>
  <c r="I40" i="13"/>
  <c r="E42" i="13"/>
  <c r="F42" i="13"/>
  <c r="H40" i="13"/>
  <c r="G42" i="13" a="1"/>
  <c r="M42" i="13" a="1"/>
  <c r="M42" i="13" l="1"/>
  <c r="O42" i="13" s="1"/>
  <c r="G42" i="13"/>
  <c r="N41" i="13"/>
  <c r="I41" i="13"/>
  <c r="E43" i="13"/>
  <c r="F43" i="13"/>
  <c r="H41" i="13"/>
  <c r="G43" i="13" a="1"/>
  <c r="M43" i="13" a="1"/>
  <c r="N42" i="13" l="1"/>
  <c r="M43" i="13"/>
  <c r="O43" i="13" s="1"/>
  <c r="G43" i="13"/>
  <c r="E44" i="13"/>
  <c r="I42" i="13"/>
  <c r="F44" i="13"/>
  <c r="H42" i="13"/>
  <c r="G44" i="13" a="1"/>
  <c r="M44" i="13" a="1"/>
  <c r="N43" i="13" l="1"/>
  <c r="M44" i="13"/>
  <c r="O44" i="13" s="1"/>
  <c r="G44" i="13"/>
  <c r="I43" i="13"/>
  <c r="E45" i="13"/>
  <c r="F45" i="13"/>
  <c r="H43" i="13"/>
  <c r="G45" i="13" a="1"/>
  <c r="M45" i="13" a="1"/>
  <c r="N44" i="13" l="1"/>
  <c r="M45" i="13"/>
  <c r="O45" i="13" s="1"/>
  <c r="G45" i="13"/>
  <c r="I44" i="13"/>
  <c r="E46" i="13"/>
  <c r="F46" i="13"/>
  <c r="H44" i="13"/>
  <c r="M46" i="13" a="1"/>
  <c r="G46" i="13" a="1"/>
  <c r="N45" i="13" l="1"/>
  <c r="M46" i="13"/>
  <c r="O46" i="13" s="1"/>
  <c r="G46" i="13"/>
  <c r="I45" i="13"/>
  <c r="E47" i="13"/>
  <c r="F47" i="13"/>
  <c r="H45" i="13"/>
  <c r="G47" i="13" a="1"/>
  <c r="M47" i="13" a="1"/>
  <c r="M47" i="13" l="1"/>
  <c r="O47" i="13" s="1"/>
  <c r="G47" i="13"/>
  <c r="N46" i="13"/>
  <c r="I46" i="13"/>
  <c r="E48" i="13"/>
  <c r="F48" i="13"/>
  <c r="H46" i="13"/>
  <c r="M48" i="13" a="1"/>
  <c r="G48" i="13" a="1"/>
  <c r="M48" i="13" l="1"/>
  <c r="O48" i="13" s="1"/>
  <c r="G48" i="13"/>
  <c r="N47" i="13"/>
  <c r="I47" i="13"/>
  <c r="E49" i="13"/>
  <c r="F49" i="13"/>
  <c r="H47" i="13"/>
  <c r="G49" i="13" a="1"/>
  <c r="M49" i="13" a="1"/>
  <c r="M49" i="13" l="1"/>
  <c r="O49" i="13" s="1"/>
  <c r="G49" i="13"/>
  <c r="N48" i="13"/>
  <c r="I48" i="13"/>
  <c r="H48" i="13"/>
  <c r="N49" i="13" l="1"/>
  <c r="I49" i="13"/>
  <c r="H49" i="13"/>
  <c r="C16" i="13" l="1"/>
  <c r="C10" i="13" s="1"/>
  <c r="C18" i="13" l="1"/>
  <c r="J13" i="13"/>
  <c r="L20" i="13" a="1"/>
  <c r="K32" i="13" a="1"/>
  <c r="L15" i="13" a="1"/>
  <c r="K31" i="13" a="1"/>
  <c r="L18" i="13" a="1"/>
  <c r="L24" i="13" a="1"/>
  <c r="L16" i="13" a="1"/>
  <c r="K47" i="13" a="1"/>
  <c r="K34" i="13" a="1"/>
  <c r="K11" i="13" a="1"/>
  <c r="L43" i="13" a="1"/>
  <c r="L47" i="13" a="1"/>
  <c r="K20" i="13" a="1"/>
  <c r="L46" i="13" a="1"/>
  <c r="K18" i="13" a="1"/>
  <c r="K43" i="13" a="1"/>
  <c r="L13" i="13" a="1"/>
  <c r="L48" i="13" a="1"/>
  <c r="L38" i="13" a="1"/>
  <c r="K48" i="13" a="1"/>
  <c r="L36" i="13" a="1"/>
  <c r="K42" i="13" a="1"/>
  <c r="L39" i="13" a="1"/>
  <c r="L42" i="13" a="1"/>
  <c r="K13" i="13" a="1"/>
  <c r="K19" i="13" a="1"/>
  <c r="K14" i="13" a="1"/>
  <c r="K35" i="13" a="1"/>
  <c r="K28" i="13" a="1"/>
  <c r="L35" i="13" a="1"/>
  <c r="K33" i="13" a="1"/>
  <c r="L27" i="13" a="1"/>
  <c r="L32" i="13" a="1"/>
  <c r="K22" i="13" a="1"/>
  <c r="L29" i="13" a="1"/>
  <c r="L23" i="13" a="1"/>
  <c r="K38" i="13" a="1"/>
  <c r="K16" i="13" a="1"/>
  <c r="L41" i="13" a="1"/>
  <c r="L14" i="13" a="1"/>
  <c r="K45" i="13" a="1"/>
  <c r="K12" i="13" a="1"/>
  <c r="K15" i="13" a="1"/>
  <c r="L40" i="13" a="1"/>
  <c r="K21" i="13" a="1"/>
  <c r="K23" i="13" a="1"/>
  <c r="L30" i="13" a="1"/>
  <c r="L45" i="13" a="1"/>
  <c r="K37" i="13" a="1"/>
  <c r="K29" i="13" a="1"/>
  <c r="L21" i="13" a="1"/>
  <c r="K25" i="13" a="1"/>
  <c r="K27" i="13" a="1"/>
  <c r="K36" i="13" a="1"/>
  <c r="K17" i="13" a="1"/>
  <c r="L31" i="13" a="1"/>
  <c r="K24" i="13" a="1"/>
  <c r="K44" i="13" a="1"/>
  <c r="K46" i="13" a="1"/>
  <c r="L26" i="13" a="1"/>
  <c r="L17" i="13" a="1"/>
  <c r="K30" i="13" a="1"/>
  <c r="K40" i="13" a="1"/>
  <c r="L12" i="13" a="1"/>
  <c r="L10" i="13" a="1"/>
  <c r="L37" i="13" a="1"/>
  <c r="L34" i="13" a="1"/>
  <c r="L11" i="13" a="1"/>
  <c r="L25" i="13" a="1"/>
  <c r="K41" i="13" a="1"/>
  <c r="L19" i="13" a="1"/>
  <c r="K10" i="13" a="1"/>
  <c r="L22" i="13" a="1"/>
  <c r="L33" i="13" a="1"/>
  <c r="K26" i="13" a="1"/>
  <c r="L28" i="13" a="1"/>
  <c r="K39" i="13" a="1"/>
  <c r="L44" i="13" a="1"/>
  <c r="J36" i="13" l="1"/>
  <c r="J23" i="13"/>
  <c r="J27" i="13"/>
  <c r="J11" i="13"/>
  <c r="J9" i="13"/>
  <c r="J31" i="13"/>
  <c r="J39" i="13"/>
  <c r="J19" i="13"/>
  <c r="J44" i="13"/>
  <c r="J33" i="13"/>
  <c r="J16" i="13"/>
  <c r="J24" i="13"/>
  <c r="J40" i="13"/>
  <c r="J20" i="13"/>
  <c r="J38" i="13"/>
  <c r="J17" i="13"/>
  <c r="J28" i="13"/>
  <c r="J47" i="13"/>
  <c r="J26" i="13"/>
  <c r="J32" i="13"/>
  <c r="J21" i="13"/>
  <c r="J35" i="13"/>
  <c r="J42" i="13"/>
  <c r="J15" i="13"/>
  <c r="J45" i="13"/>
  <c r="J18" i="13"/>
  <c r="J30" i="13"/>
  <c r="J48" i="13"/>
  <c r="J25" i="13"/>
  <c r="J41" i="13"/>
  <c r="J29" i="13"/>
  <c r="J34" i="13"/>
  <c r="J37" i="13"/>
  <c r="J12" i="13"/>
  <c r="J46" i="13"/>
  <c r="J22" i="13"/>
  <c r="J14" i="13"/>
  <c r="J43" i="13"/>
  <c r="J10" i="13"/>
  <c r="K48" i="13"/>
  <c r="L48" i="13"/>
  <c r="L10" i="13"/>
  <c r="K25" i="13"/>
  <c r="L45" i="13"/>
  <c r="L46" i="13"/>
  <c r="L12" i="13"/>
  <c r="K23" i="13"/>
  <c r="L42" i="13"/>
  <c r="L31" i="13"/>
  <c r="K47" i="13"/>
  <c r="K45" i="13"/>
  <c r="K31" i="13"/>
  <c r="L33" i="13"/>
  <c r="K35" i="13"/>
  <c r="K19" i="13"/>
  <c r="K28" i="13"/>
  <c r="L24" i="13"/>
  <c r="K34" i="13"/>
  <c r="L36" i="13"/>
  <c r="L15" i="13"/>
  <c r="L20" i="13"/>
  <c r="K15" i="13"/>
  <c r="L40" i="13"/>
  <c r="K32" i="13"/>
  <c r="L34" i="13"/>
  <c r="L22" i="13"/>
  <c r="K44" i="13"/>
  <c r="K16" i="13"/>
  <c r="L47" i="13"/>
  <c r="K43" i="13"/>
  <c r="L29" i="13"/>
  <c r="L44" i="13"/>
  <c r="K38" i="13"/>
  <c r="K18" i="13"/>
  <c r="L21" i="13"/>
  <c r="L37" i="13"/>
  <c r="K37" i="13"/>
  <c r="L39" i="13"/>
  <c r="L17" i="13"/>
  <c r="L30" i="13"/>
  <c r="K21" i="13"/>
  <c r="K46" i="13"/>
  <c r="L23" i="13"/>
  <c r="K20" i="13"/>
  <c r="L19" i="13"/>
  <c r="L28" i="13"/>
  <c r="L14" i="13"/>
  <c r="L35" i="13"/>
  <c r="K27" i="13"/>
  <c r="K40" i="13"/>
  <c r="K11" i="13"/>
  <c r="K17" i="13"/>
  <c r="L43" i="13"/>
  <c r="L26" i="13"/>
  <c r="L27" i="13"/>
  <c r="L41" i="13"/>
  <c r="K24" i="13"/>
  <c r="K33" i="13"/>
  <c r="L13" i="13"/>
  <c r="K29" i="13"/>
  <c r="K12" i="13"/>
  <c r="L11" i="13"/>
  <c r="K22" i="13"/>
  <c r="L38" i="13"/>
  <c r="K41" i="13"/>
  <c r="L16" i="13"/>
  <c r="L32" i="13"/>
  <c r="K30" i="13"/>
  <c r="L25" i="13"/>
  <c r="K39" i="13"/>
  <c r="K14" i="13"/>
  <c r="L18" i="13"/>
  <c r="K13" i="13"/>
  <c r="K26" i="13"/>
  <c r="K42" i="13"/>
  <c r="K36" i="13"/>
  <c r="K10" i="13"/>
  <c r="C20" i="13" l="1"/>
  <c r="L9" i="13"/>
  <c r="K9" i="13"/>
  <c r="C17" i="13" s="1"/>
  <c r="C21" i="13" s="1"/>
  <c r="C19" i="13" l="1"/>
  <c r="M16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B17" authorId="0" shapeId="0" xr:uid="{2AEE4BC3-1504-4D0E-A9EB-07CD8B28E5E6}">
      <text>
        <r>
          <rPr>
            <b/>
            <sz val="9"/>
            <color indexed="81"/>
            <rFont val="Tahoma"/>
            <family val="2"/>
          </rPr>
          <t>Note the survival probability offset that equates to the default probability for each period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 xr:uid="{A5976D04-11B8-4330-9CD9-616853743390}">
      <text>
        <r>
          <rPr>
            <b/>
            <sz val="9"/>
            <color indexed="81"/>
            <rFont val="Tahoma"/>
            <family val="2"/>
          </rPr>
          <t>For an asset heavy swap and LGD of 100%, this value should converge to the CVA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9" authorId="0" shapeId="0" xr:uid="{823C4582-F820-4BBE-A4C4-50F9B67F6CF0}">
      <text>
        <r>
          <rPr>
            <b/>
            <sz val="9"/>
            <color indexed="81"/>
            <rFont val="Tahoma"/>
            <family val="2"/>
          </rPr>
          <t>Risk-free annuity method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 shapeId="0" xr:uid="{EB83F4CF-CC10-4E6F-952E-7A70AC059719}">
      <text>
        <r>
          <rPr>
            <b/>
            <sz val="9"/>
            <color indexed="81"/>
            <rFont val="Tahoma"/>
            <family val="2"/>
          </rPr>
          <t>EPE approximation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 shapeId="0" xr:uid="{27457333-FAB8-4A16-A665-8E23C75F4002}">
      <text>
        <r>
          <rPr>
            <b/>
            <sz val="9"/>
            <color indexed="81"/>
            <rFont val="Tahoma"/>
            <family val="2"/>
          </rPr>
          <t>To find the exact CVA, change the swap rate until this value is zero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<sst xmlns="http://schemas.openxmlformats.org/spreadsheetml/2006/main" count="151" uniqueCount="61">
  <si>
    <t>Pay/Rec</t>
  </si>
  <si>
    <t>PAY</t>
  </si>
  <si>
    <t>Par Swap Rate</t>
  </si>
  <si>
    <t>DF</t>
  </si>
  <si>
    <t>Fixed Leg</t>
  </si>
  <si>
    <t>Floating Leg</t>
  </si>
  <si>
    <t>EPE</t>
  </si>
  <si>
    <t>ENE</t>
  </si>
  <si>
    <t>LGD</t>
  </si>
  <si>
    <t>ZZZ</t>
  </si>
  <si>
    <t>XXX</t>
  </si>
  <si>
    <t>YYY</t>
  </si>
  <si>
    <t>ZYX</t>
  </si>
  <si>
    <t>Extra DF</t>
  </si>
  <si>
    <t>CVA</t>
  </si>
  <si>
    <t>Discounting</t>
  </si>
  <si>
    <t>BCVA</t>
  </si>
  <si>
    <t>DVA</t>
  </si>
  <si>
    <t>This Swap Rate</t>
  </si>
  <si>
    <t>Flat</t>
  </si>
  <si>
    <t>Humped</t>
  </si>
  <si>
    <t>Upwards</t>
  </si>
  <si>
    <t>Spread</t>
  </si>
  <si>
    <t>Survival</t>
  </si>
  <si>
    <t>Inputs</t>
  </si>
  <si>
    <t>Calculations</t>
  </si>
  <si>
    <t>Interest Rate Curve</t>
  </si>
  <si>
    <t>HW Volatility</t>
  </si>
  <si>
    <t>HW Mean Reversion</t>
  </si>
  <si>
    <t>Credit Curve</t>
  </si>
  <si>
    <t>EV</t>
  </si>
  <si>
    <t>CVA (spread)</t>
  </si>
  <si>
    <t>Swap Value (CCR)</t>
  </si>
  <si>
    <t>Counterparty Curve</t>
  </si>
  <si>
    <t>Own Curve</t>
  </si>
  <si>
    <t>LGD Own</t>
  </si>
  <si>
    <t>LGD Counterparty</t>
  </si>
  <si>
    <t>UCVA</t>
  </si>
  <si>
    <t>UDVA</t>
  </si>
  <si>
    <t>UCVA+UDVA</t>
  </si>
  <si>
    <t>Counterparty</t>
  </si>
  <si>
    <t>Own</t>
  </si>
  <si>
    <t>Stand-alone</t>
  </si>
  <si>
    <t>Directional</t>
  </si>
  <si>
    <t>Curve</t>
  </si>
  <si>
    <t xml:space="preserve">Cntprty </t>
  </si>
  <si>
    <t>Balanced</t>
  </si>
  <si>
    <t>Flat100</t>
  </si>
  <si>
    <t>Flat150</t>
  </si>
  <si>
    <t>IRS first</t>
  </si>
  <si>
    <t>XCCY first</t>
  </si>
  <si>
    <t>IRS</t>
  </si>
  <si>
    <t>XCCY</t>
  </si>
  <si>
    <t>Total</t>
  </si>
  <si>
    <t>Marginal</t>
  </si>
  <si>
    <t>Survival Probability</t>
  </si>
  <si>
    <t>Cntrpty</t>
  </si>
  <si>
    <t>Blue = Inputs</t>
  </si>
  <si>
    <t>Grey = Fixed</t>
  </si>
  <si>
    <t>White = Calculations</t>
  </si>
  <si>
    <t>Green =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</si>
</sst>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%"/>
    <numFmt numFmtId="172" formatCode="0.00000"/>
    <numFmt numFmtId="173" formatCode="0.000000"/>
    <numFmt numFmtId="174" formatCode="0.0"/>
    <numFmt numFmtId="175" formatCode="#,##0.0000_ ;\-#,##0.0000\ "/>
    <numFmt numFmtId="176" formatCode="#,##0.000_ ;\-#,##0.000\ 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8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22" borderId="3" applyNumberFormat="0" applyFont="0" applyBorder="0" applyAlignment="0" applyProtection="0">
      <alignment horizontal="centerContinuous"/>
    </xf>
    <xf numFmtId="0" fontId="11" fillId="23" borderId="4" applyNumberFormat="0" applyBorder="0">
      <alignment horizontal="left"/>
    </xf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24" borderId="5" applyNumberFormat="0" applyFont="0" applyBorder="0" applyAlignment="0">
      <alignment horizontal="centerContinuous"/>
    </xf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9" applyNumberFormat="0" applyFill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>
      <alignment horizontal="right"/>
    </xf>
    <xf numFmtId="0" fontId="20" fillId="25" borderId="0" applyNumberFormat="0" applyBorder="0" applyAlignment="0" applyProtection="0"/>
    <xf numFmtId="0" fontId="28" fillId="0" borderId="0"/>
    <xf numFmtId="0" fontId="28" fillId="0" borderId="0"/>
    <xf numFmtId="0" fontId="5" fillId="26" borderId="10" applyNumberFormat="0" applyFont="0" applyAlignment="0" applyProtection="0"/>
    <xf numFmtId="0" fontId="21" fillId="20" borderId="11" applyNumberFormat="0" applyAlignment="0" applyProtection="0"/>
    <xf numFmtId="9" fontId="28" fillId="0" borderId="0" applyFont="0" applyFill="0" applyBorder="0" applyAlignment="0" applyProtection="0"/>
    <xf numFmtId="0" fontId="22" fillId="27" borderId="12">
      <alignment horizontal="center"/>
    </xf>
    <xf numFmtId="0" fontId="4" fillId="0" borderId="0">
      <alignment horizontal="left" wrapText="1"/>
    </xf>
    <xf numFmtId="0" fontId="23" fillId="0" borderId="0">
      <alignment horizontal="center"/>
    </xf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28" borderId="0">
      <alignment horizontal="right"/>
    </xf>
    <xf numFmtId="169" fontId="4" fillId="0" borderId="0">
      <alignment horizontal="center"/>
    </xf>
    <xf numFmtId="9" fontId="29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71">
    <xf numFmtId="0" fontId="0" fillId="0" borderId="0" xfId="0"/>
    <xf numFmtId="0" fontId="28" fillId="0" borderId="0" xfId="45"/>
    <xf numFmtId="0" fontId="28" fillId="27" borderId="0" xfId="46" applyFill="1"/>
    <xf numFmtId="0" fontId="4" fillId="27" borderId="0" xfId="60" applyFill="1"/>
    <xf numFmtId="0" fontId="4" fillId="0" borderId="0" xfId="59"/>
    <xf numFmtId="0" fontId="4" fillId="0" borderId="15" xfId="59" applyBorder="1"/>
    <xf numFmtId="0" fontId="4" fillId="0" borderId="22" xfId="59" applyBorder="1"/>
    <xf numFmtId="2" fontId="4" fillId="0" borderId="0" xfId="59" applyNumberFormat="1"/>
    <xf numFmtId="173" fontId="4" fillId="0" borderId="0" xfId="59" applyNumberFormat="1"/>
    <xf numFmtId="0" fontId="4" fillId="0" borderId="0" xfId="45" applyFont="1"/>
    <xf numFmtId="1" fontId="28" fillId="0" borderId="0" xfId="45" applyNumberFormat="1"/>
    <xf numFmtId="10" fontId="4" fillId="0" borderId="0" xfId="58" applyNumberFormat="1" applyFont="1"/>
    <xf numFmtId="174" fontId="4" fillId="0" borderId="0" xfId="59" applyNumberFormat="1"/>
    <xf numFmtId="10" fontId="28" fillId="0" borderId="0" xfId="58" applyNumberFormat="1" applyFont="1"/>
    <xf numFmtId="0" fontId="4" fillId="0" borderId="34" xfId="45" applyFont="1" applyBorder="1" applyAlignment="1">
      <alignment horizontal="center"/>
    </xf>
    <xf numFmtId="10" fontId="4" fillId="0" borderId="24" xfId="58" applyNumberFormat="1" applyFont="1" applyBorder="1"/>
    <xf numFmtId="10" fontId="4" fillId="0" borderId="25" xfId="58" applyNumberFormat="1" applyFont="1" applyBorder="1"/>
    <xf numFmtId="1" fontId="4" fillId="0" borderId="15" xfId="59" applyNumberFormat="1" applyBorder="1"/>
    <xf numFmtId="0" fontId="4" fillId="0" borderId="31" xfId="45" applyFont="1" applyBorder="1"/>
    <xf numFmtId="0" fontId="4" fillId="0" borderId="32" xfId="45" applyFont="1" applyBorder="1"/>
    <xf numFmtId="10" fontId="4" fillId="0" borderId="16" xfId="58" applyNumberFormat="1" applyFont="1" applyBorder="1"/>
    <xf numFmtId="10" fontId="4" fillId="0" borderId="27" xfId="58" applyNumberFormat="1" applyFont="1" applyBorder="1"/>
    <xf numFmtId="10" fontId="28" fillId="0" borderId="0" xfId="45" applyNumberFormat="1"/>
    <xf numFmtId="175" fontId="4" fillId="0" borderId="0" xfId="59" applyNumberFormat="1"/>
    <xf numFmtId="0" fontId="32" fillId="0" borderId="31" xfId="59" applyFont="1" applyBorder="1"/>
    <xf numFmtId="0" fontId="32" fillId="0" borderId="32" xfId="59" applyFont="1" applyBorder="1"/>
    <xf numFmtId="0" fontId="32" fillId="0" borderId="34" xfId="59" applyFont="1" applyBorder="1"/>
    <xf numFmtId="0" fontId="32" fillId="0" borderId="0" xfId="59" applyFont="1"/>
    <xf numFmtId="0" fontId="32" fillId="0" borderId="15" xfId="59" applyFont="1" applyBorder="1"/>
    <xf numFmtId="10" fontId="32" fillId="29" borderId="16" xfId="59" applyNumberFormat="1" applyFont="1" applyFill="1" applyBorder="1" applyAlignment="1">
      <alignment horizontal="right"/>
    </xf>
    <xf numFmtId="10" fontId="32" fillId="29" borderId="24" xfId="59" applyNumberFormat="1" applyFont="1" applyFill="1" applyBorder="1" applyAlignment="1">
      <alignment horizontal="right"/>
    </xf>
    <xf numFmtId="0" fontId="32" fillId="0" borderId="22" xfId="59" applyFont="1" applyBorder="1"/>
    <xf numFmtId="9" fontId="32" fillId="29" borderId="27" xfId="59" applyNumberFormat="1" applyFont="1" applyFill="1" applyBorder="1"/>
    <xf numFmtId="9" fontId="32" fillId="29" borderId="25" xfId="59" applyNumberFormat="1" applyFont="1" applyFill="1" applyBorder="1"/>
    <xf numFmtId="0" fontId="32" fillId="0" borderId="37" xfId="59" applyFont="1" applyBorder="1"/>
    <xf numFmtId="0" fontId="32" fillId="0" borderId="5" xfId="59" applyFont="1" applyBorder="1" applyAlignment="1">
      <alignment horizontal="center"/>
    </xf>
    <xf numFmtId="0" fontId="32" fillId="0" borderId="38" xfId="59" applyFont="1" applyBorder="1" applyAlignment="1">
      <alignment horizontal="center"/>
    </xf>
    <xf numFmtId="0" fontId="32" fillId="0" borderId="41" xfId="59" applyFont="1" applyBorder="1" applyAlignment="1">
      <alignment horizontal="center"/>
    </xf>
    <xf numFmtId="0" fontId="32" fillId="0" borderId="39" xfId="59" applyFont="1" applyBorder="1" applyAlignment="1">
      <alignment horizontal="center"/>
    </xf>
    <xf numFmtId="2" fontId="32" fillId="0" borderId="15" xfId="59" applyNumberFormat="1" applyFont="1" applyBorder="1"/>
    <xf numFmtId="175" fontId="32" fillId="0" borderId="12" xfId="62" applyNumberFormat="1" applyFont="1" applyBorder="1"/>
    <xf numFmtId="175" fontId="32" fillId="0" borderId="44" xfId="62" applyNumberFormat="1" applyFont="1" applyBorder="1"/>
    <xf numFmtId="175" fontId="32" fillId="0" borderId="29" xfId="62" applyNumberFormat="1" applyFont="1" applyBorder="1"/>
    <xf numFmtId="175" fontId="32" fillId="0" borderId="0" xfId="62" applyNumberFormat="1" applyFont="1" applyBorder="1"/>
    <xf numFmtId="175" fontId="32" fillId="0" borderId="16" xfId="62" applyNumberFormat="1" applyFont="1" applyBorder="1"/>
    <xf numFmtId="175" fontId="33" fillId="0" borderId="16" xfId="59" applyNumberFormat="1" applyFont="1" applyBorder="1"/>
    <xf numFmtId="175" fontId="33" fillId="0" borderId="24" xfId="59" applyNumberFormat="1" applyFont="1" applyBorder="1"/>
    <xf numFmtId="0" fontId="32" fillId="0" borderId="34" xfId="59" applyFont="1" applyBorder="1" applyAlignment="1">
      <alignment horizontal="center"/>
    </xf>
    <xf numFmtId="174" fontId="32" fillId="0" borderId="39" xfId="59" applyNumberFormat="1" applyFont="1" applyBorder="1" applyAlignment="1">
      <alignment horizontal="center"/>
    </xf>
    <xf numFmtId="174" fontId="32" fillId="31" borderId="16" xfId="59" applyNumberFormat="1" applyFont="1" applyFill="1" applyBorder="1"/>
    <xf numFmtId="174" fontId="32" fillId="31" borderId="0" xfId="59" applyNumberFormat="1" applyFont="1" applyFill="1"/>
    <xf numFmtId="174" fontId="32" fillId="31" borderId="24" xfId="59" applyNumberFormat="1" applyFont="1" applyFill="1" applyBorder="1"/>
    <xf numFmtId="174" fontId="32" fillId="31" borderId="27" xfId="59" applyNumberFormat="1" applyFont="1" applyFill="1" applyBorder="1"/>
    <xf numFmtId="174" fontId="32" fillId="31" borderId="26" xfId="59" applyNumberFormat="1" applyFont="1" applyFill="1" applyBorder="1"/>
    <xf numFmtId="174" fontId="32" fillId="31" borderId="25" xfId="59" applyNumberFormat="1" applyFont="1" applyFill="1" applyBorder="1"/>
    <xf numFmtId="0" fontId="32" fillId="0" borderId="0" xfId="0" applyFont="1"/>
    <xf numFmtId="2" fontId="32" fillId="0" borderId="22" xfId="59" applyNumberFormat="1" applyFont="1" applyBorder="1"/>
    <xf numFmtId="175" fontId="32" fillId="0" borderId="40" xfId="62" applyNumberFormat="1" applyFont="1" applyBorder="1"/>
    <xf numFmtId="175" fontId="32" fillId="0" borderId="27" xfId="62" applyNumberFormat="1" applyFont="1" applyBorder="1"/>
    <xf numFmtId="175" fontId="32" fillId="0" borderId="30" xfId="62" applyNumberFormat="1" applyFont="1" applyBorder="1"/>
    <xf numFmtId="175" fontId="32" fillId="0" borderId="26" xfId="62" applyNumberFormat="1" applyFont="1" applyBorder="1"/>
    <xf numFmtId="175" fontId="33" fillId="0" borderId="27" xfId="59" applyNumberFormat="1" applyFont="1" applyBorder="1"/>
    <xf numFmtId="175" fontId="33" fillId="0" borderId="25" xfId="59" applyNumberFormat="1" applyFont="1" applyBorder="1"/>
    <xf numFmtId="2" fontId="32" fillId="0" borderId="0" xfId="59" applyNumberFormat="1" applyFont="1"/>
    <xf numFmtId="170" fontId="33" fillId="0" borderId="0" xfId="59" applyNumberFormat="1" applyFont="1"/>
    <xf numFmtId="170" fontId="32" fillId="0" borderId="0" xfId="59" applyNumberFormat="1" applyFont="1"/>
    <xf numFmtId="0" fontId="32" fillId="0" borderId="14" xfId="59" applyFont="1" applyBorder="1"/>
    <xf numFmtId="0" fontId="32" fillId="0" borderId="31" xfId="45" applyFont="1" applyBorder="1"/>
    <xf numFmtId="0" fontId="32" fillId="0" borderId="32" xfId="45" applyFont="1" applyBorder="1"/>
    <xf numFmtId="0" fontId="32" fillId="0" borderId="34" xfId="45" applyFont="1" applyBorder="1" applyAlignment="1">
      <alignment horizontal="center"/>
    </xf>
    <xf numFmtId="0" fontId="32" fillId="0" borderId="5" xfId="59" applyFont="1" applyBorder="1"/>
    <xf numFmtId="0" fontId="32" fillId="0" borderId="38" xfId="59" applyFont="1" applyBorder="1"/>
    <xf numFmtId="0" fontId="32" fillId="0" borderId="41" xfId="59" applyFont="1" applyBorder="1"/>
    <xf numFmtId="0" fontId="32" fillId="0" borderId="39" xfId="59" applyFont="1" applyBorder="1"/>
    <xf numFmtId="1" fontId="32" fillId="30" borderId="15" xfId="59" applyNumberFormat="1" applyFont="1" applyFill="1" applyBorder="1"/>
    <xf numFmtId="10" fontId="32" fillId="30" borderId="16" xfId="58" applyNumberFormat="1" applyFont="1" applyFill="1" applyBorder="1"/>
    <xf numFmtId="10" fontId="32" fillId="30" borderId="24" xfId="58" applyNumberFormat="1" applyFont="1" applyFill="1" applyBorder="1"/>
    <xf numFmtId="2" fontId="32" fillId="30" borderId="15" xfId="59" applyNumberFormat="1" applyFont="1" applyFill="1" applyBorder="1"/>
    <xf numFmtId="175" fontId="32" fillId="30" borderId="12" xfId="62" applyNumberFormat="1" applyFont="1" applyFill="1" applyBorder="1"/>
    <xf numFmtId="175" fontId="32" fillId="30" borderId="44" xfId="62" applyNumberFormat="1" applyFont="1" applyFill="1" applyBorder="1"/>
    <xf numFmtId="175" fontId="32" fillId="30" borderId="16" xfId="62" applyNumberFormat="1" applyFont="1" applyFill="1" applyBorder="1"/>
    <xf numFmtId="175" fontId="32" fillId="0" borderId="16" xfId="59" applyNumberFormat="1" applyFont="1" applyBorder="1"/>
    <xf numFmtId="175" fontId="32" fillId="0" borderId="24" xfId="59" applyNumberFormat="1" applyFont="1" applyBorder="1"/>
    <xf numFmtId="176" fontId="33" fillId="0" borderId="0" xfId="59" applyNumberFormat="1" applyFont="1" applyAlignment="1">
      <alignment horizontal="center"/>
    </xf>
    <xf numFmtId="0" fontId="32" fillId="30" borderId="15" xfId="59" applyFont="1" applyFill="1" applyBorder="1"/>
    <xf numFmtId="175" fontId="32" fillId="30" borderId="0" xfId="62" applyNumberFormat="1" applyFont="1" applyFill="1" applyBorder="1"/>
    <xf numFmtId="174" fontId="32" fillId="0" borderId="0" xfId="59" applyNumberFormat="1" applyFont="1"/>
    <xf numFmtId="0" fontId="32" fillId="0" borderId="32" xfId="59" applyFont="1" applyBorder="1" applyAlignment="1">
      <alignment horizontal="center"/>
    </xf>
    <xf numFmtId="0" fontId="32" fillId="30" borderId="22" xfId="59" applyFont="1" applyFill="1" applyBorder="1"/>
    <xf numFmtId="10" fontId="32" fillId="30" borderId="27" xfId="58" applyNumberFormat="1" applyFont="1" applyFill="1" applyBorder="1"/>
    <xf numFmtId="10" fontId="32" fillId="30" borderId="25" xfId="58" applyNumberFormat="1" applyFont="1" applyFill="1" applyBorder="1"/>
    <xf numFmtId="176" fontId="32" fillId="0" borderId="0" xfId="62" applyNumberFormat="1" applyFont="1" applyBorder="1"/>
    <xf numFmtId="176" fontId="32" fillId="0" borderId="0" xfId="62" applyNumberFormat="1" applyFont="1"/>
    <xf numFmtId="0" fontId="32" fillId="0" borderId="0" xfId="45" applyFont="1"/>
    <xf numFmtId="0" fontId="32" fillId="0" borderId="33" xfId="45" applyFont="1" applyBorder="1"/>
    <xf numFmtId="0" fontId="32" fillId="0" borderId="14" xfId="0" applyFont="1" applyBorder="1"/>
    <xf numFmtId="0" fontId="32" fillId="29" borderId="19" xfId="0" applyFont="1" applyFill="1" applyBorder="1" applyAlignment="1">
      <alignment horizontal="right"/>
    </xf>
    <xf numFmtId="0" fontId="32" fillId="0" borderId="37" xfId="45" applyFont="1" applyBorder="1"/>
    <xf numFmtId="0" fontId="32" fillId="0" borderId="38" xfId="45" applyFont="1" applyBorder="1" applyAlignment="1">
      <alignment horizontal="center"/>
    </xf>
    <xf numFmtId="0" fontId="32" fillId="0" borderId="41" xfId="45" applyFont="1" applyBorder="1" applyAlignment="1">
      <alignment horizontal="center"/>
    </xf>
    <xf numFmtId="0" fontId="32" fillId="0" borderId="39" xfId="45" applyFont="1" applyBorder="1" applyAlignment="1">
      <alignment horizontal="center"/>
    </xf>
    <xf numFmtId="0" fontId="32" fillId="0" borderId="15" xfId="45" applyFont="1" applyBorder="1"/>
    <xf numFmtId="0" fontId="32" fillId="29" borderId="20" xfId="0" applyFont="1" applyFill="1" applyBorder="1" applyAlignment="1">
      <alignment horizontal="right"/>
    </xf>
    <xf numFmtId="2" fontId="32" fillId="0" borderId="15" xfId="45" applyNumberFormat="1" applyFont="1" applyBorder="1"/>
    <xf numFmtId="172" fontId="32" fillId="0" borderId="16" xfId="45" applyNumberFormat="1" applyFont="1" applyBorder="1"/>
    <xf numFmtId="172" fontId="32" fillId="0" borderId="0" xfId="45" applyNumberFormat="1" applyFont="1"/>
    <xf numFmtId="172" fontId="32" fillId="0" borderId="24" xfId="45" applyNumberFormat="1" applyFont="1" applyBorder="1"/>
    <xf numFmtId="9" fontId="32" fillId="29" borderId="20" xfId="45" applyNumberFormat="1" applyFont="1" applyFill="1" applyBorder="1"/>
    <xf numFmtId="0" fontId="32" fillId="0" borderId="22" xfId="45" applyFont="1" applyBorder="1"/>
    <xf numFmtId="9" fontId="32" fillId="29" borderId="23" xfId="45" applyNumberFormat="1" applyFont="1" applyFill="1" applyBorder="1"/>
    <xf numFmtId="0" fontId="35" fillId="0" borderId="0" xfId="45" applyFont="1" applyAlignment="1">
      <alignment horizontal="right"/>
    </xf>
    <xf numFmtId="0" fontId="32" fillId="0" borderId="14" xfId="45" applyFont="1" applyBorder="1"/>
    <xf numFmtId="174" fontId="32" fillId="31" borderId="19" xfId="45" applyNumberFormat="1" applyFont="1" applyFill="1" applyBorder="1"/>
    <xf numFmtId="174" fontId="32" fillId="31" borderId="20" xfId="45" applyNumberFormat="1" applyFont="1" applyFill="1" applyBorder="1"/>
    <xf numFmtId="0" fontId="32" fillId="0" borderId="42" xfId="45" applyFont="1" applyBorder="1"/>
    <xf numFmtId="174" fontId="32" fillId="31" borderId="43" xfId="45" applyNumberFormat="1" applyFont="1" applyFill="1" applyBorder="1"/>
    <xf numFmtId="174" fontId="32" fillId="31" borderId="23" xfId="45" applyNumberFormat="1" applyFont="1" applyFill="1" applyBorder="1"/>
    <xf numFmtId="2" fontId="32" fillId="0" borderId="22" xfId="45" applyNumberFormat="1" applyFont="1" applyBorder="1"/>
    <xf numFmtId="172" fontId="32" fillId="0" borderId="27" xfId="45" applyNumberFormat="1" applyFont="1" applyBorder="1"/>
    <xf numFmtId="172" fontId="32" fillId="0" borderId="26" xfId="45" applyNumberFormat="1" applyFont="1" applyBorder="1"/>
    <xf numFmtId="172" fontId="32" fillId="0" borderId="25" xfId="45" applyNumberFormat="1" applyFont="1" applyBorder="1"/>
    <xf numFmtId="0" fontId="32" fillId="0" borderId="17" xfId="45" applyFont="1" applyBorder="1"/>
    <xf numFmtId="0" fontId="32" fillId="0" borderId="18" xfId="45" applyFont="1" applyBorder="1"/>
    <xf numFmtId="0" fontId="32" fillId="0" borderId="28" xfId="45" applyFont="1" applyBorder="1"/>
    <xf numFmtId="0" fontId="32" fillId="0" borderId="21" xfId="45" applyFont="1" applyBorder="1"/>
    <xf numFmtId="2" fontId="32" fillId="0" borderId="16" xfId="45" applyNumberFormat="1" applyFont="1" applyBorder="1"/>
    <xf numFmtId="170" fontId="32" fillId="0" borderId="0" xfId="45" applyNumberFormat="1" applyFont="1"/>
    <xf numFmtId="170" fontId="32" fillId="0" borderId="16" xfId="45" applyNumberFormat="1" applyFont="1" applyBorder="1"/>
    <xf numFmtId="170" fontId="32" fillId="0" borderId="24" xfId="45" applyNumberFormat="1" applyFont="1" applyBorder="1"/>
    <xf numFmtId="10" fontId="32" fillId="29" borderId="20" xfId="45" applyNumberFormat="1" applyFont="1" applyFill="1" applyBorder="1"/>
    <xf numFmtId="2" fontId="32" fillId="0" borderId="0" xfId="45" applyNumberFormat="1" applyFont="1"/>
    <xf numFmtId="0" fontId="32" fillId="29" borderId="20" xfId="45" applyFont="1" applyFill="1" applyBorder="1" applyAlignment="1">
      <alignment horizontal="right"/>
    </xf>
    <xf numFmtId="0" fontId="32" fillId="29" borderId="23" xfId="45" applyFont="1" applyFill="1" applyBorder="1" applyAlignment="1">
      <alignment horizontal="right"/>
    </xf>
    <xf numFmtId="10" fontId="32" fillId="31" borderId="19" xfId="58" applyNumberFormat="1" applyFont="1" applyFill="1" applyBorder="1"/>
    <xf numFmtId="2" fontId="32" fillId="31" borderId="20" xfId="45" applyNumberFormat="1" applyFont="1" applyFill="1" applyBorder="1"/>
    <xf numFmtId="170" fontId="32" fillId="31" borderId="23" xfId="45" applyNumberFormat="1" applyFont="1" applyFill="1" applyBorder="1"/>
    <xf numFmtId="0" fontId="32" fillId="30" borderId="14" xfId="59" applyFont="1" applyFill="1" applyBorder="1"/>
    <xf numFmtId="10" fontId="32" fillId="30" borderId="19" xfId="59" applyNumberFormat="1" applyFont="1" applyFill="1" applyBorder="1"/>
    <xf numFmtId="10" fontId="32" fillId="30" borderId="20" xfId="59" applyNumberFormat="1" applyFont="1" applyFill="1" applyBorder="1"/>
    <xf numFmtId="0" fontId="32" fillId="30" borderId="42" xfId="59" applyFont="1" applyFill="1" applyBorder="1"/>
    <xf numFmtId="10" fontId="32" fillId="30" borderId="43" xfId="59" applyNumberFormat="1" applyFont="1" applyFill="1" applyBorder="1"/>
    <xf numFmtId="0" fontId="32" fillId="29" borderId="20" xfId="59" applyFont="1" applyFill="1" applyBorder="1"/>
    <xf numFmtId="171" fontId="32" fillId="29" borderId="23" xfId="59" applyNumberFormat="1" applyFont="1" applyFill="1" applyBorder="1"/>
    <xf numFmtId="1" fontId="32" fillId="30" borderId="14" xfId="59" applyNumberFormat="1" applyFont="1" applyFill="1" applyBorder="1"/>
    <xf numFmtId="10" fontId="32" fillId="30" borderId="23" xfId="59" applyNumberFormat="1" applyFont="1" applyFill="1" applyBorder="1"/>
    <xf numFmtId="2" fontId="32" fillId="0" borderId="27" xfId="45" applyNumberFormat="1" applyFont="1" applyBorder="1"/>
    <xf numFmtId="170" fontId="32" fillId="0" borderId="26" xfId="45" applyNumberFormat="1" applyFont="1" applyBorder="1"/>
    <xf numFmtId="170" fontId="32" fillId="0" borderId="27" xfId="45" applyNumberFormat="1" applyFont="1" applyBorder="1"/>
    <xf numFmtId="170" fontId="32" fillId="0" borderId="25" xfId="45" applyNumberFormat="1" applyFont="1" applyBorder="1"/>
    <xf numFmtId="0" fontId="34" fillId="0" borderId="17" xfId="59" applyFont="1" applyBorder="1" applyAlignment="1">
      <alignment horizontal="center"/>
    </xf>
    <xf numFmtId="0" fontId="34" fillId="0" borderId="21" xfId="59" applyFont="1" applyBorder="1" applyAlignment="1">
      <alignment horizontal="center"/>
    </xf>
    <xf numFmtId="0" fontId="34" fillId="0" borderId="14" xfId="59" applyFont="1" applyBorder="1" applyAlignment="1">
      <alignment horizontal="center"/>
    </xf>
    <xf numFmtId="0" fontId="34" fillId="0" borderId="35" xfId="59" applyFont="1" applyBorder="1" applyAlignment="1">
      <alignment horizontal="center"/>
    </xf>
    <xf numFmtId="0" fontId="32" fillId="0" borderId="46" xfId="45" applyFont="1" applyBorder="1" applyAlignment="1">
      <alignment horizontal="center"/>
    </xf>
    <xf numFmtId="0" fontId="32" fillId="0" borderId="36" xfId="45" applyFont="1" applyBorder="1" applyAlignment="1">
      <alignment horizontal="center"/>
    </xf>
    <xf numFmtId="0" fontId="32" fillId="0" borderId="33" xfId="45" applyFont="1" applyBorder="1" applyAlignment="1">
      <alignment horizontal="center"/>
    </xf>
    <xf numFmtId="0" fontId="32" fillId="0" borderId="34" xfId="45" applyFont="1" applyBorder="1" applyAlignment="1">
      <alignment horizontal="center"/>
    </xf>
    <xf numFmtId="0" fontId="32" fillId="0" borderId="33" xfId="59" applyFont="1" applyBorder="1" applyAlignment="1">
      <alignment horizontal="center"/>
    </xf>
    <xf numFmtId="0" fontId="32" fillId="0" borderId="34" xfId="59" applyFont="1" applyBorder="1" applyAlignment="1">
      <alignment horizontal="center"/>
    </xf>
    <xf numFmtId="0" fontId="32" fillId="0" borderId="17" xfId="59" applyFont="1" applyBorder="1" applyAlignment="1">
      <alignment horizontal="center"/>
    </xf>
    <xf numFmtId="0" fontId="32" fillId="0" borderId="28" xfId="59" applyFont="1" applyBorder="1" applyAlignment="1">
      <alignment horizontal="center"/>
    </xf>
    <xf numFmtId="0" fontId="32" fillId="0" borderId="21" xfId="59" applyFont="1" applyBorder="1" applyAlignment="1">
      <alignment horizontal="center"/>
    </xf>
    <xf numFmtId="0" fontId="32" fillId="0" borderId="48" xfId="59" applyFont="1" applyBorder="1" applyAlignment="1">
      <alignment horizontal="center" vertical="center"/>
    </xf>
    <xf numFmtId="0" fontId="32" fillId="0" borderId="35" xfId="59" applyFont="1" applyBorder="1" applyAlignment="1">
      <alignment horizontal="center" vertical="center"/>
    </xf>
    <xf numFmtId="0" fontId="32" fillId="0" borderId="3" xfId="59" applyFont="1" applyBorder="1" applyAlignment="1">
      <alignment horizontal="center" vertical="center"/>
    </xf>
    <xf numFmtId="0" fontId="32" fillId="0" borderId="45" xfId="59" applyFont="1" applyBorder="1" applyAlignment="1">
      <alignment horizontal="center" vertical="center"/>
    </xf>
    <xf numFmtId="0" fontId="32" fillId="0" borderId="3" xfId="59" applyFont="1" applyBorder="1" applyAlignment="1">
      <alignment horizontal="center"/>
    </xf>
    <xf numFmtId="0" fontId="32" fillId="0" borderId="47" xfId="59" applyFont="1" applyBorder="1" applyAlignment="1">
      <alignment horizontal="center"/>
    </xf>
    <xf numFmtId="0" fontId="32" fillId="0" borderId="46" xfId="59" applyFont="1" applyBorder="1" applyAlignment="1">
      <alignment horizontal="center"/>
    </xf>
    <xf numFmtId="0" fontId="32" fillId="0" borderId="36" xfId="59" applyFont="1" applyBorder="1" applyAlignment="1">
      <alignment horizontal="center"/>
    </xf>
    <xf numFmtId="0" fontId="32" fillId="0" borderId="31" xfId="59" applyFont="1" applyBorder="1" applyAlignment="1">
      <alignment horizontal="center"/>
    </xf>
  </cellXfs>
  <cellStyles count="6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62" xr:uid="{436F9850-87A2-4694-8CEB-6BC7A51737D8}"/>
    <cellStyle name="Comma 4" xfId="67" xr:uid="{C7D48FF4-5424-4A94-B37B-DF8B93B4B96E}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" xfId="45" xr:uid="{00000000-0005-0000-0000-00002D000000}"/>
    <cellStyle name="Normal 2 2" xfId="59" xr:uid="{064B143F-F79A-4563-9083-42790E679741}"/>
    <cellStyle name="Normal 3" xfId="65" xr:uid="{84337367-5C8A-4D29-B704-EBD732D35732}"/>
    <cellStyle name="Normal 7" xfId="63" xr:uid="{0D32A9D6-305C-4BA4-A51C-BE71067C9DD0}"/>
    <cellStyle name="Normal 7 2" xfId="64" xr:uid="{28B866F5-46B7-4E0A-990E-6CFB4213BF1E}"/>
    <cellStyle name="Normal_LFS_CollateralandCntrptyRisk 2" xfId="46" xr:uid="{00000000-0005-0000-0000-00002E000000}"/>
    <cellStyle name="Normal_LFS_CollateralandCntrptyRisk 2 2" xfId="60" xr:uid="{5111E3F5-7F5C-4F83-9D12-F31CECB7DD4E}"/>
    <cellStyle name="Note" xfId="47" builtinId="10" customBuiltin="1"/>
    <cellStyle name="Output" xfId="48" builtinId="21" customBuiltin="1"/>
    <cellStyle name="Per cent" xfId="58" builtinId="5"/>
    <cellStyle name="Percent 2" xfId="49" xr:uid="{00000000-0005-0000-0000-000031000000}"/>
    <cellStyle name="Percent 2 2" xfId="61" xr:uid="{DE086601-3328-45E4-B86D-CD278D035F6E}"/>
    <cellStyle name="Percent 3" xfId="66" xr:uid="{815FE770-6A14-42A9-A3C7-87F528462076}"/>
    <cellStyle name="PricingProducts" xfId="50" xr:uid="{00000000-0005-0000-0000-000032000000}"/>
    <cellStyle name="Style 1" xfId="51" xr:uid="{00000000-0005-0000-0000-000033000000}"/>
    <cellStyle name="TIMES" xfId="52" xr:uid="{00000000-0005-0000-0000-000034000000}"/>
    <cellStyle name="Title" xfId="53" builtinId="15" customBuiltin="1"/>
    <cellStyle name="Total" xfId="54" builtinId="25" customBuiltin="1"/>
    <cellStyle name="Warning Text" xfId="55" builtinId="11" customBuiltin="1"/>
    <cellStyle name="WASP_PLStyle" xfId="56" xr:uid="{00000000-0005-0000-0000-000038000000}"/>
    <cellStyle name="Year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'14.1 (IRS CVA)'!$J$8</c:f>
              <c:strCache>
                <c:ptCount val="1"/>
                <c:pt idx="0">
                  <c:v>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CVA)'!$J$9:$J$49</c:f>
              <c:numCache>
                <c:formatCode>0.0000</c:formatCode>
                <c:ptCount val="41"/>
                <c:pt idx="0">
                  <c:v>0</c:v>
                </c:pt>
                <c:pt idx="1">
                  <c:v>2.4444424696417333E-3</c:v>
                </c:pt>
                <c:pt idx="2">
                  <c:v>4.633921770686722E-3</c:v>
                </c:pt>
                <c:pt idx="3">
                  <c:v>6.6548640841314066E-3</c:v>
                </c:pt>
                <c:pt idx="4">
                  <c:v>8.5494397459369986E-3</c:v>
                </c:pt>
                <c:pt idx="5">
                  <c:v>1.0284586771445531E-2</c:v>
                </c:pt>
                <c:pt idx="6">
                  <c:v>1.1845201891051788E-2</c:v>
                </c:pt>
                <c:pt idx="7">
                  <c:v>1.3230416792848587E-2</c:v>
                </c:pt>
                <c:pt idx="8">
                  <c:v>1.4442745068712209E-2</c:v>
                </c:pt>
                <c:pt idx="9">
                  <c:v>1.5487994778784264E-2</c:v>
                </c:pt>
                <c:pt idx="10">
                  <c:v>1.6375045145670938E-2</c:v>
                </c:pt>
                <c:pt idx="11">
                  <c:v>1.7115856774111871E-2</c:v>
                </c:pt>
                <c:pt idx="12">
                  <c:v>1.7725454600483651E-2</c:v>
                </c:pt>
                <c:pt idx="13">
                  <c:v>1.8219249829485112E-2</c:v>
                </c:pt>
                <c:pt idx="14">
                  <c:v>1.8603612733847627E-2</c:v>
                </c:pt>
                <c:pt idx="15">
                  <c:v>1.8880985281304968E-2</c:v>
                </c:pt>
                <c:pt idx="16">
                  <c:v>1.9052110781370798E-2</c:v>
                </c:pt>
                <c:pt idx="17">
                  <c:v>1.9116080686412573E-2</c:v>
                </c:pt>
                <c:pt idx="18">
                  <c:v>1.9070353780001451E-2</c:v>
                </c:pt>
                <c:pt idx="19">
                  <c:v>1.891078500009398E-2</c:v>
                </c:pt>
                <c:pt idx="20">
                  <c:v>1.8631669148878441E-2</c:v>
                </c:pt>
                <c:pt idx="21">
                  <c:v>1.8228496432335498E-2</c:v>
                </c:pt>
                <c:pt idx="22">
                  <c:v>1.770710315123461E-2</c:v>
                </c:pt>
                <c:pt idx="23">
                  <c:v>1.707717252292941E-2</c:v>
                </c:pt>
                <c:pt idx="24">
                  <c:v>1.6349699785173234E-2</c:v>
                </c:pt>
                <c:pt idx="25">
                  <c:v>1.55369804805357E-2</c:v>
                </c:pt>
                <c:pt idx="26">
                  <c:v>1.4652552902671943E-2</c:v>
                </c:pt>
                <c:pt idx="27">
                  <c:v>1.3711152379492365E-2</c:v>
                </c:pt>
                <c:pt idx="28">
                  <c:v>1.2728683210285481E-2</c:v>
                </c:pt>
                <c:pt idx="29">
                  <c:v>1.171997682662114E-2</c:v>
                </c:pt>
                <c:pt idx="30">
                  <c:v>1.0691695248396263E-2</c:v>
                </c:pt>
                <c:pt idx="31">
                  <c:v>9.6479161764838131E-3</c:v>
                </c:pt>
                <c:pt idx="32">
                  <c:v>8.592248735570119E-3</c:v>
                </c:pt>
                <c:pt idx="33">
                  <c:v>7.527846564238036E-3</c:v>
                </c:pt>
                <c:pt idx="34">
                  <c:v>6.4573515018030644E-3</c:v>
                </c:pt>
                <c:pt idx="35">
                  <c:v>5.3829960859095825E-3</c:v>
                </c:pt>
                <c:pt idx="36">
                  <c:v>4.3065367490742936E-3</c:v>
                </c:pt>
                <c:pt idx="37">
                  <c:v>3.2293116959331535E-3</c:v>
                </c:pt>
                <c:pt idx="38">
                  <c:v>2.1522207559530509E-3</c:v>
                </c:pt>
                <c:pt idx="39">
                  <c:v>1.0757560861852679E-3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2D-4F88-A137-96E318F5E5D1}"/>
            </c:ext>
          </c:extLst>
        </c:ser>
        <c:ser>
          <c:idx val="1"/>
          <c:order val="1"/>
          <c:tx>
            <c:strRef>
              <c:f>'14.1 (IRS CVA)'!$K$8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CVA)'!$K$9:$K$49</c:f>
              <c:numCache>
                <c:formatCode>0.0000</c:formatCode>
                <c:ptCount val="41"/>
                <c:pt idx="0">
                  <c:v>0</c:v>
                </c:pt>
                <c:pt idx="1">
                  <c:v>1.2663129390075464E-2</c:v>
                </c:pt>
                <c:pt idx="2">
                  <c:v>1.8075346942871481E-2</c:v>
                </c:pt>
                <c:pt idx="3">
                  <c:v>2.2111198349289277E-2</c:v>
                </c:pt>
                <c:pt idx="4">
                  <c:v>2.5371168060990285E-2</c:v>
                </c:pt>
                <c:pt idx="5">
                  <c:v>2.8065758492413651E-2</c:v>
                </c:pt>
                <c:pt idx="6">
                  <c:v>3.0306089157863803E-2</c:v>
                </c:pt>
                <c:pt idx="7">
                  <c:v>3.2164166088938323E-2</c:v>
                </c:pt>
                <c:pt idx="8">
                  <c:v>3.368962053311414E-2</c:v>
                </c:pt>
                <c:pt idx="9">
                  <c:v>3.4920007693856697E-2</c:v>
                </c:pt>
                <c:pt idx="10">
                  <c:v>3.5885995140046804E-2</c:v>
                </c:pt>
                <c:pt idx="11">
                  <c:v>3.6614364919674583E-2</c:v>
                </c:pt>
                <c:pt idx="12">
                  <c:v>3.7129808399172744E-2</c:v>
                </c:pt>
                <c:pt idx="13">
                  <c:v>3.7454416131989431E-2</c:v>
                </c:pt>
                <c:pt idx="14">
                  <c:v>3.7602550919596189E-2</c:v>
                </c:pt>
                <c:pt idx="15">
                  <c:v>3.7584432717914298E-2</c:v>
                </c:pt>
                <c:pt idx="16">
                  <c:v>3.7407862924174744E-2</c:v>
                </c:pt>
                <c:pt idx="17">
                  <c:v>3.7078514573501219E-2</c:v>
                </c:pt>
                <c:pt idx="18">
                  <c:v>3.6600141494169292E-2</c:v>
                </c:pt>
                <c:pt idx="19">
                  <c:v>3.597475112265875E-2</c:v>
                </c:pt>
                <c:pt idx="20">
                  <c:v>3.5202760095650779E-2</c:v>
                </c:pt>
                <c:pt idx="21">
                  <c:v>3.4284848144556894E-2</c:v>
                </c:pt>
                <c:pt idx="22">
                  <c:v>3.3227846755956629E-2</c:v>
                </c:pt>
                <c:pt idx="23">
                  <c:v>3.2040714145330704E-2</c:v>
                </c:pt>
                <c:pt idx="24">
                  <c:v>3.0732966674020555E-2</c:v>
                </c:pt>
                <c:pt idx="25">
                  <c:v>2.931468553943312E-2</c:v>
                </c:pt>
                <c:pt idx="26">
                  <c:v>2.7796482596982967E-2</c:v>
                </c:pt>
                <c:pt idx="27">
                  <c:v>2.6189464429538779E-2</c:v>
                </c:pt>
                <c:pt idx="28">
                  <c:v>2.4505201306794816E-2</c:v>
                </c:pt>
                <c:pt idx="29">
                  <c:v>2.2754316375678336E-2</c:v>
                </c:pt>
                <c:pt idx="30">
                  <c:v>2.0942093753471273E-2</c:v>
                </c:pt>
                <c:pt idx="31">
                  <c:v>1.9072020695157895E-2</c:v>
                </c:pt>
                <c:pt idx="32">
                  <c:v>1.7147128144962585E-2</c:v>
                </c:pt>
                <c:pt idx="33">
                  <c:v>1.5170013448047484E-2</c:v>
                </c:pt>
                <c:pt idx="34">
                  <c:v>1.3142819471914128E-2</c:v>
                </c:pt>
                <c:pt idx="35">
                  <c:v>1.1067310414590276E-2</c:v>
                </c:pt>
                <c:pt idx="36">
                  <c:v>8.9448427461893583E-3</c:v>
                </c:pt>
                <c:pt idx="37">
                  <c:v>6.7764118105592148E-3</c:v>
                </c:pt>
                <c:pt idx="38">
                  <c:v>4.5626500635668451E-3</c:v>
                </c:pt>
                <c:pt idx="39">
                  <c:v>2.3038555785121657E-3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92D-4F88-A137-96E318F5E5D1}"/>
            </c:ext>
          </c:extLst>
        </c:ser>
        <c:ser>
          <c:idx val="2"/>
          <c:order val="2"/>
          <c:tx>
            <c:strRef>
              <c:f>'14.1 (IRS CVA)'!$L$8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CVA)'!$L$9:$L$49</c:f>
              <c:numCache>
                <c:formatCode>0.0000</c:formatCode>
                <c:ptCount val="41"/>
                <c:pt idx="0">
                  <c:v>0</c:v>
                </c:pt>
                <c:pt idx="1">
                  <c:v>-1.0218686920433723E-2</c:v>
                </c:pt>
                <c:pt idx="2">
                  <c:v>-1.3441425172184163E-2</c:v>
                </c:pt>
                <c:pt idx="3">
                  <c:v>-1.5456334265157473E-2</c:v>
                </c:pt>
                <c:pt idx="4">
                  <c:v>-1.6821728315053193E-2</c:v>
                </c:pt>
                <c:pt idx="5">
                  <c:v>-1.7781171720968179E-2</c:v>
                </c:pt>
                <c:pt idx="6">
                  <c:v>-1.8460887266812054E-2</c:v>
                </c:pt>
                <c:pt idx="7">
                  <c:v>-1.8933749296089729E-2</c:v>
                </c:pt>
                <c:pt idx="8">
                  <c:v>-1.9246875464401954E-2</c:v>
                </c:pt>
                <c:pt idx="9">
                  <c:v>-1.9432012915072624E-2</c:v>
                </c:pt>
                <c:pt idx="10">
                  <c:v>-1.951094999437596E-2</c:v>
                </c:pt>
                <c:pt idx="11">
                  <c:v>-1.949850814556265E-2</c:v>
                </c:pt>
                <c:pt idx="12">
                  <c:v>-1.9404353798688996E-2</c:v>
                </c:pt>
                <c:pt idx="13">
                  <c:v>-1.9235166302504297E-2</c:v>
                </c:pt>
                <c:pt idx="14">
                  <c:v>-1.8998938185748687E-2</c:v>
                </c:pt>
                <c:pt idx="15">
                  <c:v>-1.8703447436609292E-2</c:v>
                </c:pt>
                <c:pt idx="16">
                  <c:v>-1.8355752142803959E-2</c:v>
                </c:pt>
                <c:pt idx="17">
                  <c:v>-1.7962433887088562E-2</c:v>
                </c:pt>
                <c:pt idx="18">
                  <c:v>-1.7529787714167695E-2</c:v>
                </c:pt>
                <c:pt idx="19">
                  <c:v>-1.7063966122564736E-2</c:v>
                </c:pt>
                <c:pt idx="20">
                  <c:v>-1.6571090946772341E-2</c:v>
                </c:pt>
                <c:pt idx="21">
                  <c:v>-1.6056351712221442E-2</c:v>
                </c:pt>
                <c:pt idx="22">
                  <c:v>-1.5520743604722106E-2</c:v>
                </c:pt>
                <c:pt idx="23">
                  <c:v>-1.4963541622401469E-2</c:v>
                </c:pt>
                <c:pt idx="24">
                  <c:v>-1.4383266888847323E-2</c:v>
                </c:pt>
                <c:pt idx="25">
                  <c:v>-1.3777705058897492E-2</c:v>
                </c:pt>
                <c:pt idx="26">
                  <c:v>-1.3143929694311232E-2</c:v>
                </c:pt>
                <c:pt idx="27">
                  <c:v>-1.2478312050046549E-2</c:v>
                </c:pt>
                <c:pt idx="28">
                  <c:v>-1.1776518096509337E-2</c:v>
                </c:pt>
                <c:pt idx="29">
                  <c:v>-1.1034339549057262E-2</c:v>
                </c:pt>
                <c:pt idx="30">
                  <c:v>-1.0250398505075142E-2</c:v>
                </c:pt>
                <c:pt idx="31">
                  <c:v>-9.4241045186740559E-3</c:v>
                </c:pt>
                <c:pt idx="32">
                  <c:v>-8.5548794093925906E-3</c:v>
                </c:pt>
                <c:pt idx="33">
                  <c:v>-7.6421668838096545E-3</c:v>
                </c:pt>
                <c:pt idx="34">
                  <c:v>-6.6854679701110762E-3</c:v>
                </c:pt>
                <c:pt idx="35">
                  <c:v>-5.6843143286807191E-3</c:v>
                </c:pt>
                <c:pt idx="36">
                  <c:v>-4.638305997114925E-3</c:v>
                </c:pt>
                <c:pt idx="37">
                  <c:v>-3.5471001146261298E-3</c:v>
                </c:pt>
                <c:pt idx="38">
                  <c:v>-2.4104293076138224E-3</c:v>
                </c:pt>
                <c:pt idx="39">
                  <c:v>-1.2280994923268768E-3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92D-4F88-A137-96E318F5E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'14.2 (CVA+DVA)'!$G$10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'14.2 (CVA+DVA)'!$F$11:$F$51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'14.2 (CVA+DVA)'!$G$11:$G$51</c:f>
              <c:numCache>
                <c:formatCode>0.00000</c:formatCode>
                <c:ptCount val="41"/>
                <c:pt idx="0">
                  <c:v>0</c:v>
                </c:pt>
                <c:pt idx="1">
                  <c:v>1.2663129390075464E-2</c:v>
                </c:pt>
                <c:pt idx="2">
                  <c:v>1.8075346942871481E-2</c:v>
                </c:pt>
                <c:pt idx="3">
                  <c:v>2.2111198349289277E-2</c:v>
                </c:pt>
                <c:pt idx="4">
                  <c:v>2.5371168060990285E-2</c:v>
                </c:pt>
                <c:pt idx="5">
                  <c:v>2.8065758492413651E-2</c:v>
                </c:pt>
                <c:pt idx="6">
                  <c:v>3.0306089157863803E-2</c:v>
                </c:pt>
                <c:pt idx="7">
                  <c:v>3.2164166088938323E-2</c:v>
                </c:pt>
                <c:pt idx="8">
                  <c:v>3.368962053311414E-2</c:v>
                </c:pt>
                <c:pt idx="9">
                  <c:v>3.4920007693856697E-2</c:v>
                </c:pt>
                <c:pt idx="10">
                  <c:v>3.5885995140046804E-2</c:v>
                </c:pt>
                <c:pt idx="11">
                  <c:v>3.6614364919674583E-2</c:v>
                </c:pt>
                <c:pt idx="12">
                  <c:v>3.7129808399172744E-2</c:v>
                </c:pt>
                <c:pt idx="13">
                  <c:v>3.7454416131989431E-2</c:v>
                </c:pt>
                <c:pt idx="14">
                  <c:v>3.7602550919596189E-2</c:v>
                </c:pt>
                <c:pt idx="15">
                  <c:v>3.7584432717914298E-2</c:v>
                </c:pt>
                <c:pt idx="16">
                  <c:v>3.7407862924174744E-2</c:v>
                </c:pt>
                <c:pt idx="17">
                  <c:v>3.7078514573501219E-2</c:v>
                </c:pt>
                <c:pt idx="18">
                  <c:v>3.6600141494169292E-2</c:v>
                </c:pt>
                <c:pt idx="19">
                  <c:v>3.597475112265875E-2</c:v>
                </c:pt>
                <c:pt idx="20">
                  <c:v>3.5202760095650779E-2</c:v>
                </c:pt>
                <c:pt idx="21">
                  <c:v>3.4284848144556894E-2</c:v>
                </c:pt>
                <c:pt idx="22">
                  <c:v>3.3227846755956629E-2</c:v>
                </c:pt>
                <c:pt idx="23">
                  <c:v>3.2040714145330704E-2</c:v>
                </c:pt>
                <c:pt idx="24">
                  <c:v>3.0732966674020555E-2</c:v>
                </c:pt>
                <c:pt idx="25">
                  <c:v>2.931468553943312E-2</c:v>
                </c:pt>
                <c:pt idx="26">
                  <c:v>2.7796482596982967E-2</c:v>
                </c:pt>
                <c:pt idx="27">
                  <c:v>2.6189464429538779E-2</c:v>
                </c:pt>
                <c:pt idx="28">
                  <c:v>2.4505201306794816E-2</c:v>
                </c:pt>
                <c:pt idx="29">
                  <c:v>2.2754316375678336E-2</c:v>
                </c:pt>
                <c:pt idx="30">
                  <c:v>2.0942093753471273E-2</c:v>
                </c:pt>
                <c:pt idx="31">
                  <c:v>1.9072020695157895E-2</c:v>
                </c:pt>
                <c:pt idx="32">
                  <c:v>1.7147128144962585E-2</c:v>
                </c:pt>
                <c:pt idx="33">
                  <c:v>1.5170013448047484E-2</c:v>
                </c:pt>
                <c:pt idx="34">
                  <c:v>1.3142819471914128E-2</c:v>
                </c:pt>
                <c:pt idx="35">
                  <c:v>1.1067310414590276E-2</c:v>
                </c:pt>
                <c:pt idx="36">
                  <c:v>8.9448427461893583E-3</c:v>
                </c:pt>
                <c:pt idx="37">
                  <c:v>6.7764118105592148E-3</c:v>
                </c:pt>
                <c:pt idx="38">
                  <c:v>4.5626500635668451E-3</c:v>
                </c:pt>
                <c:pt idx="39">
                  <c:v>2.3038555785121657E-3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60-4DEC-9DE2-D839BBB27FFA}"/>
            </c:ext>
          </c:extLst>
        </c:ser>
        <c:ser>
          <c:idx val="2"/>
          <c:order val="1"/>
          <c:tx>
            <c:strRef>
              <c:f>'14.2 (CVA+DVA)'!$H$10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'14.2 (CVA+DVA)'!$F$11:$F$51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'14.2 (CVA+DVA)'!$H$11:$H$51</c:f>
              <c:numCache>
                <c:formatCode>0.00000</c:formatCode>
                <c:ptCount val="41"/>
                <c:pt idx="0">
                  <c:v>0</c:v>
                </c:pt>
                <c:pt idx="1">
                  <c:v>-1.0218686920433723E-2</c:v>
                </c:pt>
                <c:pt idx="2">
                  <c:v>-1.3441425172184163E-2</c:v>
                </c:pt>
                <c:pt idx="3">
                  <c:v>-1.5456334265157473E-2</c:v>
                </c:pt>
                <c:pt idx="4">
                  <c:v>-1.6821728315053193E-2</c:v>
                </c:pt>
                <c:pt idx="5">
                  <c:v>-1.7781171720968179E-2</c:v>
                </c:pt>
                <c:pt idx="6">
                  <c:v>-1.8460887266812054E-2</c:v>
                </c:pt>
                <c:pt idx="7">
                  <c:v>-1.8933749296089729E-2</c:v>
                </c:pt>
                <c:pt idx="8">
                  <c:v>-1.9246875464401954E-2</c:v>
                </c:pt>
                <c:pt idx="9">
                  <c:v>-1.9432012915072624E-2</c:v>
                </c:pt>
                <c:pt idx="10">
                  <c:v>-1.951094999437596E-2</c:v>
                </c:pt>
                <c:pt idx="11">
                  <c:v>-1.949850814556265E-2</c:v>
                </c:pt>
                <c:pt idx="12">
                  <c:v>-1.9404353798688996E-2</c:v>
                </c:pt>
                <c:pt idx="13">
                  <c:v>-1.9235166302504297E-2</c:v>
                </c:pt>
                <c:pt idx="14">
                  <c:v>-1.8998938185748687E-2</c:v>
                </c:pt>
                <c:pt idx="15">
                  <c:v>-1.8703447436609292E-2</c:v>
                </c:pt>
                <c:pt idx="16">
                  <c:v>-1.8355752142803959E-2</c:v>
                </c:pt>
                <c:pt idx="17">
                  <c:v>-1.7962433887088562E-2</c:v>
                </c:pt>
                <c:pt idx="18">
                  <c:v>-1.7529787714167695E-2</c:v>
                </c:pt>
                <c:pt idx="19">
                  <c:v>-1.7063966122564736E-2</c:v>
                </c:pt>
                <c:pt idx="20">
                  <c:v>-1.6571090946772341E-2</c:v>
                </c:pt>
                <c:pt idx="21">
                  <c:v>-1.6056351712221442E-2</c:v>
                </c:pt>
                <c:pt idx="22">
                  <c:v>-1.5520743604722106E-2</c:v>
                </c:pt>
                <c:pt idx="23">
                  <c:v>-1.4963541622401469E-2</c:v>
                </c:pt>
                <c:pt idx="24">
                  <c:v>-1.4383266888847323E-2</c:v>
                </c:pt>
                <c:pt idx="25">
                  <c:v>-1.3777705058897492E-2</c:v>
                </c:pt>
                <c:pt idx="26">
                  <c:v>-1.3143929694311232E-2</c:v>
                </c:pt>
                <c:pt idx="27">
                  <c:v>-1.2478312050046549E-2</c:v>
                </c:pt>
                <c:pt idx="28">
                  <c:v>-1.1776518096509337E-2</c:v>
                </c:pt>
                <c:pt idx="29">
                  <c:v>-1.1034339549057262E-2</c:v>
                </c:pt>
                <c:pt idx="30">
                  <c:v>-1.0250398505075142E-2</c:v>
                </c:pt>
                <c:pt idx="31">
                  <c:v>-9.4241045186740559E-3</c:v>
                </c:pt>
                <c:pt idx="32">
                  <c:v>-8.5548794093925906E-3</c:v>
                </c:pt>
                <c:pt idx="33">
                  <c:v>-7.6421668838096545E-3</c:v>
                </c:pt>
                <c:pt idx="34">
                  <c:v>-6.6854679701110762E-3</c:v>
                </c:pt>
                <c:pt idx="35">
                  <c:v>-5.6843143286807191E-3</c:v>
                </c:pt>
                <c:pt idx="36">
                  <c:v>-4.638305997114925E-3</c:v>
                </c:pt>
                <c:pt idx="37">
                  <c:v>-3.5471001146261298E-3</c:v>
                </c:pt>
                <c:pt idx="38">
                  <c:v>-2.4104293076138224E-3</c:v>
                </c:pt>
                <c:pt idx="39">
                  <c:v>-1.2280994923268768E-3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F60-4DEC-9DE2-D839BBB27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'14.3 (Incremental CVA and DVA)'!$C$10</c:f>
              <c:strCache>
                <c:ptCount val="1"/>
                <c:pt idx="0">
                  <c:v>Stand-alone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DVA)'!$C$11:$C$39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2.1501585477892937E-2</c:v>
                </c:pt>
                <c:pt idx="2">
                  <c:v>2.5631651573617277E-2</c:v>
                </c:pt>
                <c:pt idx="3">
                  <c:v>2.9183972430326492E-2</c:v>
                </c:pt>
                <c:pt idx="4">
                  <c:v>3.2338238839481816E-2</c:v>
                </c:pt>
                <c:pt idx="5">
                  <c:v>3.5601785328853552E-2</c:v>
                </c:pt>
                <c:pt idx="6">
                  <c:v>3.6920888755218435E-2</c:v>
                </c:pt>
                <c:pt idx="7">
                  <c:v>3.8124095967932807E-2</c:v>
                </c:pt>
                <c:pt idx="8">
                  <c:v>3.8364850444997829E-2</c:v>
                </c:pt>
                <c:pt idx="9">
                  <c:v>3.8584753212513825E-2</c:v>
                </c:pt>
                <c:pt idx="10">
                  <c:v>3.8588439195383933E-2</c:v>
                </c:pt>
                <c:pt idx="11">
                  <c:v>3.8222223324045429E-2</c:v>
                </c:pt>
                <c:pt idx="12">
                  <c:v>3.7326585714134074E-2</c:v>
                </c:pt>
                <c:pt idx="13">
                  <c:v>3.6190232124819414E-2</c:v>
                </c:pt>
                <c:pt idx="14">
                  <c:v>3.5038865762392624E-2</c:v>
                </c:pt>
                <c:pt idx="15">
                  <c:v>3.3486456733540317E-2</c:v>
                </c:pt>
                <c:pt idx="16">
                  <c:v>3.1639862814599996E-2</c:v>
                </c:pt>
                <c:pt idx="17">
                  <c:v>2.9768006734671105E-2</c:v>
                </c:pt>
                <c:pt idx="18">
                  <c:v>2.792441545060691E-2</c:v>
                </c:pt>
                <c:pt idx="19">
                  <c:v>2.5881153429576059E-2</c:v>
                </c:pt>
                <c:pt idx="20">
                  <c:v>2.3651141099558046E-2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B6-45B9-9E14-B517261A2702}"/>
            </c:ext>
          </c:extLst>
        </c:ser>
        <c:ser>
          <c:idx val="1"/>
          <c:order val="1"/>
          <c:tx>
            <c:strRef>
              <c:f>'14.3 (Incremental CVA and DVA)'!$D$10</c:f>
              <c:strCache>
                <c:ptCount val="1"/>
                <c:pt idx="0">
                  <c:v>Directional</c:v>
                </c:pt>
              </c:strCache>
            </c:strRef>
          </c:tx>
          <c:spPr>
            <a:ln w="19050"/>
          </c:spPr>
          <c:marker>
            <c:symbol val="squar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DVA)'!$D$11:$D$39</c:f>
              <c:numCache>
                <c:formatCode>#,##0.0000_ ;\-#,##0.0000\ </c:formatCode>
                <c:ptCount val="29"/>
                <c:pt idx="0">
                  <c:v>1.5643534887322716E-2</c:v>
                </c:pt>
                <c:pt idx="1">
                  <c:v>1.7669855510827094E-2</c:v>
                </c:pt>
                <c:pt idx="2">
                  <c:v>2.1807642901601934E-2</c:v>
                </c:pt>
                <c:pt idx="3">
                  <c:v>2.565066811157635E-2</c:v>
                </c:pt>
                <c:pt idx="4">
                  <c:v>2.9240229635149904E-2</c:v>
                </c:pt>
                <c:pt idx="5">
                  <c:v>3.2998661448264202E-2</c:v>
                </c:pt>
                <c:pt idx="6">
                  <c:v>3.4729948372067027E-2</c:v>
                </c:pt>
                <c:pt idx="7">
                  <c:v>3.6112015946640548E-2</c:v>
                </c:pt>
                <c:pt idx="8">
                  <c:v>3.6643620713956965E-2</c:v>
                </c:pt>
                <c:pt idx="9">
                  <c:v>3.7120821980498472E-2</c:v>
                </c:pt>
                <c:pt idx="10">
                  <c:v>3.7343552140946777E-2</c:v>
                </c:pt>
                <c:pt idx="11">
                  <c:v>3.7041446859000036E-2</c:v>
                </c:pt>
                <c:pt idx="12">
                  <c:v>3.6361768388410327E-2</c:v>
                </c:pt>
                <c:pt idx="13">
                  <c:v>3.5390079924477569E-2</c:v>
                </c:pt>
                <c:pt idx="14">
                  <c:v>3.4368889873639674E-2</c:v>
                </c:pt>
                <c:pt idx="15">
                  <c:v>3.2906977027015449E-2</c:v>
                </c:pt>
                <c:pt idx="16">
                  <c:v>3.1182303274279715E-2</c:v>
                </c:pt>
                <c:pt idx="17">
                  <c:v>2.9421848263831762E-2</c:v>
                </c:pt>
                <c:pt idx="18">
                  <c:v>2.7685872382448563E-2</c:v>
                </c:pt>
                <c:pt idx="19">
                  <c:v>2.5753243842371199E-2</c:v>
                </c:pt>
                <c:pt idx="20">
                  <c:v>2.3635357354012187E-2</c:v>
                </c:pt>
                <c:pt idx="21">
                  <c:v>2.1313244513725647E-2</c:v>
                </c:pt>
                <c:pt idx="22">
                  <c:v>1.8848799171235105E-2</c:v>
                </c:pt>
                <c:pt idx="23">
                  <c:v>1.6448028920033816E-2</c:v>
                </c:pt>
                <c:pt idx="24">
                  <c:v>1.3693958172160136E-2</c:v>
                </c:pt>
                <c:pt idx="25">
                  <c:v>1.1023589481735829E-2</c:v>
                </c:pt>
                <c:pt idx="26">
                  <c:v>8.352726918272298E-3</c:v>
                </c:pt>
                <c:pt idx="27">
                  <c:v>5.7498867466219371E-3</c:v>
                </c:pt>
                <c:pt idx="28">
                  <c:v>2.7573767671192841E-3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6B6-45B9-9E14-B517261A2702}"/>
            </c:ext>
          </c:extLst>
        </c:ser>
        <c:ser>
          <c:idx val="2"/>
          <c:order val="2"/>
          <c:tx>
            <c:strRef>
              <c:f>'14.3 (Incremental CVA and DVA)'!$E$10</c:f>
              <c:strCache>
                <c:ptCount val="1"/>
                <c:pt idx="0">
                  <c:v>Balanced</c:v>
                </c:pt>
              </c:strCache>
            </c:strRef>
          </c:tx>
          <c:spPr>
            <a:ln w="19050"/>
          </c:spPr>
          <c:marker>
            <c:symbol val="triangl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DVA)'!$E$11:$E$39</c:f>
              <c:numCache>
                <c:formatCode>#,##0.0000_ ;\-#,##0.0000\ </c:formatCode>
                <c:ptCount val="29"/>
                <c:pt idx="0">
                  <c:v>3.0616666412765171E-4</c:v>
                </c:pt>
                <c:pt idx="1">
                  <c:v>1.3486908424727393E-2</c:v>
                </c:pt>
                <c:pt idx="2">
                  <c:v>1.5084394160742897E-2</c:v>
                </c:pt>
                <c:pt idx="3">
                  <c:v>1.6058051747318135E-2</c:v>
                </c:pt>
                <c:pt idx="4">
                  <c:v>1.7505653468118262E-2</c:v>
                </c:pt>
                <c:pt idx="5">
                  <c:v>1.9390426956323349E-2</c:v>
                </c:pt>
                <c:pt idx="6">
                  <c:v>1.8836410018918358E-2</c:v>
                </c:pt>
                <c:pt idx="7">
                  <c:v>1.9236652506087575E-2</c:v>
                </c:pt>
                <c:pt idx="8">
                  <c:v>1.8311980695574933E-2</c:v>
                </c:pt>
                <c:pt idx="9">
                  <c:v>1.7701396289616679E-2</c:v>
                </c:pt>
                <c:pt idx="10">
                  <c:v>1.798327160258428E-2</c:v>
                </c:pt>
                <c:pt idx="11">
                  <c:v>1.723177680548647E-2</c:v>
                </c:pt>
                <c:pt idx="12">
                  <c:v>1.6054131495959075E-2</c:v>
                </c:pt>
                <c:pt idx="13">
                  <c:v>1.5051464262084204E-2</c:v>
                </c:pt>
                <c:pt idx="14">
                  <c:v>1.3967750954001427E-2</c:v>
                </c:pt>
                <c:pt idx="15">
                  <c:v>1.2804093876669675E-2</c:v>
                </c:pt>
                <c:pt idx="16">
                  <c:v>1.2148280979913561E-2</c:v>
                </c:pt>
                <c:pt idx="17">
                  <c:v>1.0418337237571169E-2</c:v>
                </c:pt>
                <c:pt idx="18">
                  <c:v>9.2455186074984746E-3</c:v>
                </c:pt>
                <c:pt idx="19">
                  <c:v>8.3645480996757463E-3</c:v>
                </c:pt>
                <c:pt idx="20">
                  <c:v>7.3657163946080576E-3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6B6-45B9-9E14-B517261A27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EPE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'14.3 (Incremental CVA and DVA)'!$F$10</c:f>
              <c:strCache>
                <c:ptCount val="1"/>
                <c:pt idx="0">
                  <c:v>Stand-alone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DVA)'!$F$11:$F$39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-5.9467215422489865E-3</c:v>
                </c:pt>
                <c:pt idx="2">
                  <c:v>-9.1455768940913538E-3</c:v>
                </c:pt>
                <c:pt idx="3">
                  <c:v>-1.1125943389591289E-2</c:v>
                </c:pt>
                <c:pt idx="4">
                  <c:v>-1.2241836439678362E-2</c:v>
                </c:pt>
                <c:pt idx="5">
                  <c:v>-1.2741722907603319E-2</c:v>
                </c:pt>
                <c:pt idx="6">
                  <c:v>-1.3377267229318241E-2</c:v>
                </c:pt>
                <c:pt idx="7">
                  <c:v>-1.3549895053602695E-2</c:v>
                </c:pt>
                <c:pt idx="8">
                  <c:v>-1.3876491469243871E-2</c:v>
                </c:pt>
                <c:pt idx="9">
                  <c:v>-1.3438102353898458E-2</c:v>
                </c:pt>
                <c:pt idx="10">
                  <c:v>-1.3405852944042278E-2</c:v>
                </c:pt>
                <c:pt idx="11">
                  <c:v>-1.2980045361969823E-2</c:v>
                </c:pt>
                <c:pt idx="12">
                  <c:v>-1.2826443083817576E-2</c:v>
                </c:pt>
                <c:pt idx="13">
                  <c:v>-1.2303946857117498E-2</c:v>
                </c:pt>
                <c:pt idx="14">
                  <c:v>-1.1641460137707661E-2</c:v>
                </c:pt>
                <c:pt idx="15">
                  <c:v>-1.1054207408917646E-2</c:v>
                </c:pt>
                <c:pt idx="16">
                  <c:v>-1.046119847205765E-2</c:v>
                </c:pt>
                <c:pt idx="17">
                  <c:v>-9.7488565877458661E-3</c:v>
                </c:pt>
                <c:pt idx="18">
                  <c:v>-8.9329409206117521E-3</c:v>
                </c:pt>
                <c:pt idx="19">
                  <c:v>-8.094803077319539E-3</c:v>
                </c:pt>
                <c:pt idx="20">
                  <c:v>-7.2576709513343411E-3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5C-4E9A-BFC4-B46F4B5E89DA}"/>
            </c:ext>
          </c:extLst>
        </c:ser>
        <c:ser>
          <c:idx val="1"/>
          <c:order val="1"/>
          <c:tx>
            <c:strRef>
              <c:f>'14.3 (Incremental CVA and DVA)'!$G$10</c:f>
              <c:strCache>
                <c:ptCount val="1"/>
                <c:pt idx="0">
                  <c:v>Directional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DVA)'!$G$11:$G$39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-2.1149915751831117E-3</c:v>
                </c:pt>
                <c:pt idx="2">
                  <c:v>-5.3215682220760516E-3</c:v>
                </c:pt>
                <c:pt idx="3">
                  <c:v>-7.5926390708410509E-3</c:v>
                </c:pt>
                <c:pt idx="4">
                  <c:v>-9.1438272353464509E-3</c:v>
                </c:pt>
                <c:pt idx="5">
                  <c:v>-1.0138599027013931E-2</c:v>
                </c:pt>
                <c:pt idx="6">
                  <c:v>-1.1186326846166819E-2</c:v>
                </c:pt>
                <c:pt idx="7">
                  <c:v>-1.1537815032310429E-2</c:v>
                </c:pt>
                <c:pt idx="8">
                  <c:v>-1.2155261738202916E-2</c:v>
                </c:pt>
                <c:pt idx="9">
                  <c:v>-1.1974171121883103E-2</c:v>
                </c:pt>
                <c:pt idx="10">
                  <c:v>-1.2160965889605144E-2</c:v>
                </c:pt>
                <c:pt idx="11">
                  <c:v>-1.1799268896924463E-2</c:v>
                </c:pt>
                <c:pt idx="12">
                  <c:v>-1.1861625758093963E-2</c:v>
                </c:pt>
                <c:pt idx="13">
                  <c:v>-1.1503794656775692E-2</c:v>
                </c:pt>
                <c:pt idx="14">
                  <c:v>-1.097148424895465E-2</c:v>
                </c:pt>
                <c:pt idx="15">
                  <c:v>-1.0474727702392867E-2</c:v>
                </c:pt>
                <c:pt idx="16">
                  <c:v>-1.0003638931737391E-2</c:v>
                </c:pt>
                <c:pt idx="17">
                  <c:v>-9.4026981169064369E-3</c:v>
                </c:pt>
                <c:pt idx="18">
                  <c:v>-8.694397852453328E-3</c:v>
                </c:pt>
                <c:pt idx="19">
                  <c:v>-7.966893490114639E-3</c:v>
                </c:pt>
                <c:pt idx="20">
                  <c:v>-7.2418872057883896E-3</c:v>
                </c:pt>
                <c:pt idx="21">
                  <c:v>-6.414063573506025E-3</c:v>
                </c:pt>
                <c:pt idx="22">
                  <c:v>-5.4789043619117963E-3</c:v>
                </c:pt>
                <c:pt idx="23">
                  <c:v>-4.728323948290797E-3</c:v>
                </c:pt>
                <c:pt idx="24">
                  <c:v>-3.7884155655415674E-3</c:v>
                </c:pt>
                <c:pt idx="25">
                  <c:v>-3.0584871982515839E-3</c:v>
                </c:pt>
                <c:pt idx="26">
                  <c:v>-2.1206309336977498E-3</c:v>
                </c:pt>
                <c:pt idx="27">
                  <c:v>-1.4584476929438617E-3</c:v>
                </c:pt>
                <c:pt idx="28">
                  <c:v>-5.9769577903322853E-4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5C-4E9A-BFC4-B46F4B5E89DA}"/>
            </c:ext>
          </c:extLst>
        </c:ser>
        <c:ser>
          <c:idx val="2"/>
          <c:order val="2"/>
          <c:tx>
            <c:strRef>
              <c:f>'14.3 (Incremental CVA and DVA)'!$H$10</c:f>
              <c:strCache>
                <c:ptCount val="1"/>
                <c:pt idx="0">
                  <c:v>Balanced</c:v>
                </c:pt>
              </c:strCache>
            </c:strRef>
          </c:tx>
          <c:spPr>
            <a:ln w="19050"/>
          </c:spPr>
          <c:marker>
            <c:symbol val="triangl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DVA)'!$H$11:$H$39</c:f>
              <c:numCache>
                <c:formatCode>#,##0.0000_ ;\-#,##0.0000\ </c:formatCode>
                <c:ptCount val="29"/>
                <c:pt idx="0">
                  <c:v>1.5337368223195577E-2</c:v>
                </c:pt>
                <c:pt idx="1">
                  <c:v>2.0679555109165571E-3</c:v>
                </c:pt>
                <c:pt idx="2">
                  <c:v>1.4016805187829994E-3</c:v>
                </c:pt>
                <c:pt idx="3">
                  <c:v>1.9999772934171235E-3</c:v>
                </c:pt>
                <c:pt idx="4">
                  <c:v>2.5907489316851517E-3</c:v>
                </c:pt>
                <c:pt idx="5">
                  <c:v>3.469635464926837E-3</c:v>
                </c:pt>
                <c:pt idx="6">
                  <c:v>4.7072115069818118E-3</c:v>
                </c:pt>
                <c:pt idx="7">
                  <c:v>5.3375484082425918E-3</c:v>
                </c:pt>
                <c:pt idx="8">
                  <c:v>6.1763782801790117E-3</c:v>
                </c:pt>
                <c:pt idx="9">
                  <c:v>7.4452545689986313E-3</c:v>
                </c:pt>
                <c:pt idx="10">
                  <c:v>7.1993146487574315E-3</c:v>
                </c:pt>
                <c:pt idx="11">
                  <c:v>8.0104011565889973E-3</c:v>
                </c:pt>
                <c:pt idx="12">
                  <c:v>8.4460111343573948E-3</c:v>
                </c:pt>
                <c:pt idx="13">
                  <c:v>8.8348210056177785E-3</c:v>
                </c:pt>
                <c:pt idx="14">
                  <c:v>9.4296546706835824E-3</c:v>
                </c:pt>
                <c:pt idx="15">
                  <c:v>9.6281554479529952E-3</c:v>
                </c:pt>
                <c:pt idx="16">
                  <c:v>9.0303833626288466E-3</c:v>
                </c:pt>
                <c:pt idx="17">
                  <c:v>9.6008129093540801E-3</c:v>
                </c:pt>
                <c:pt idx="18">
                  <c:v>9.7459559224967584E-3</c:v>
                </c:pt>
                <c:pt idx="19">
                  <c:v>9.421802252580793E-3</c:v>
                </c:pt>
                <c:pt idx="20">
                  <c:v>9.0277537536156329E-3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5C-4E9A-BFC4-B46F4B5E89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ENE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Stand-alone EPE (IRS)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DVA)'!$I$12:$I$40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2.1501585477892937E-2</c:v>
                </c:pt>
                <c:pt idx="2">
                  <c:v>2.5631651573617277E-2</c:v>
                </c:pt>
                <c:pt idx="3">
                  <c:v>2.9183972430326492E-2</c:v>
                </c:pt>
                <c:pt idx="4">
                  <c:v>3.2338238839481816E-2</c:v>
                </c:pt>
                <c:pt idx="5">
                  <c:v>3.5601785328853552E-2</c:v>
                </c:pt>
                <c:pt idx="6">
                  <c:v>3.6920888755218435E-2</c:v>
                </c:pt>
                <c:pt idx="7">
                  <c:v>3.8124095967932807E-2</c:v>
                </c:pt>
                <c:pt idx="8">
                  <c:v>3.8364850444997829E-2</c:v>
                </c:pt>
                <c:pt idx="9">
                  <c:v>3.8584753212513825E-2</c:v>
                </c:pt>
                <c:pt idx="10">
                  <c:v>3.8588439195383933E-2</c:v>
                </c:pt>
                <c:pt idx="11">
                  <c:v>3.8222223324045429E-2</c:v>
                </c:pt>
                <c:pt idx="12">
                  <c:v>3.7326585714134074E-2</c:v>
                </c:pt>
                <c:pt idx="13">
                  <c:v>3.6190232124819414E-2</c:v>
                </c:pt>
                <c:pt idx="14">
                  <c:v>3.5038865762392624E-2</c:v>
                </c:pt>
                <c:pt idx="15">
                  <c:v>3.3486456733540317E-2</c:v>
                </c:pt>
                <c:pt idx="16">
                  <c:v>3.1639862814599996E-2</c:v>
                </c:pt>
                <c:pt idx="17">
                  <c:v>2.9768006734671105E-2</c:v>
                </c:pt>
                <c:pt idx="18">
                  <c:v>2.792441545060691E-2</c:v>
                </c:pt>
                <c:pt idx="19">
                  <c:v>2.5881153429576059E-2</c:v>
                </c:pt>
                <c:pt idx="20">
                  <c:v>2.3651141099558046E-2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46-4FF6-BECB-2B99F21B7230}"/>
            </c:ext>
          </c:extLst>
        </c:ser>
        <c:ser>
          <c:idx val="2"/>
          <c:order val="1"/>
          <c:tx>
            <c:v>Incremental EPE (IRS)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DVA)'!$M$12:$M$40</c:f>
              <c:numCache>
                <c:formatCode>#,##0.0000_ ;\-#,##0.0000\ </c:formatCode>
                <c:ptCount val="29"/>
                <c:pt idx="0">
                  <c:v>3.0616666412765171E-4</c:v>
                </c:pt>
                <c:pt idx="1">
                  <c:v>1.3486908424727393E-2</c:v>
                </c:pt>
                <c:pt idx="2">
                  <c:v>1.5084394160742897E-2</c:v>
                </c:pt>
                <c:pt idx="3">
                  <c:v>1.6058051747318135E-2</c:v>
                </c:pt>
                <c:pt idx="4">
                  <c:v>1.7505653468118262E-2</c:v>
                </c:pt>
                <c:pt idx="5">
                  <c:v>1.9390426956323349E-2</c:v>
                </c:pt>
                <c:pt idx="6">
                  <c:v>1.8836410018918358E-2</c:v>
                </c:pt>
                <c:pt idx="7">
                  <c:v>1.9236652506087575E-2</c:v>
                </c:pt>
                <c:pt idx="8">
                  <c:v>1.8311980695574933E-2</c:v>
                </c:pt>
                <c:pt idx="9">
                  <c:v>1.7701396289616679E-2</c:v>
                </c:pt>
                <c:pt idx="10">
                  <c:v>1.798327160258428E-2</c:v>
                </c:pt>
                <c:pt idx="11">
                  <c:v>1.723177680548647E-2</c:v>
                </c:pt>
                <c:pt idx="12">
                  <c:v>1.6054131495959075E-2</c:v>
                </c:pt>
                <c:pt idx="13">
                  <c:v>1.5051464262084204E-2</c:v>
                </c:pt>
                <c:pt idx="14">
                  <c:v>1.3967750954001427E-2</c:v>
                </c:pt>
                <c:pt idx="15">
                  <c:v>1.2804093876669675E-2</c:v>
                </c:pt>
                <c:pt idx="16">
                  <c:v>1.2148280979913561E-2</c:v>
                </c:pt>
                <c:pt idx="17">
                  <c:v>1.0418337237571169E-2</c:v>
                </c:pt>
                <c:pt idx="18">
                  <c:v>9.2455186074984746E-3</c:v>
                </c:pt>
                <c:pt idx="19">
                  <c:v>8.3645480996757463E-3</c:v>
                </c:pt>
                <c:pt idx="20">
                  <c:v>7.3657163946080576E-3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46-4FF6-BECB-2B99F21B7230}"/>
            </c:ext>
          </c:extLst>
        </c:ser>
        <c:ser>
          <c:idx val="1"/>
          <c:order val="2"/>
          <c:tx>
            <c:v>Stand-alone ENE (IRS)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DVA)'!$J$12:$J$40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-5.9467215422489865E-3</c:v>
                </c:pt>
                <c:pt idx="2">
                  <c:v>-9.1455768940913538E-3</c:v>
                </c:pt>
                <c:pt idx="3">
                  <c:v>-1.1125943389591289E-2</c:v>
                </c:pt>
                <c:pt idx="4">
                  <c:v>-1.2241836439678362E-2</c:v>
                </c:pt>
                <c:pt idx="5">
                  <c:v>-1.2741722907603319E-2</c:v>
                </c:pt>
                <c:pt idx="6">
                  <c:v>-1.3377267229318241E-2</c:v>
                </c:pt>
                <c:pt idx="7">
                  <c:v>-1.3549895053602695E-2</c:v>
                </c:pt>
                <c:pt idx="8">
                  <c:v>-1.3876491469243871E-2</c:v>
                </c:pt>
                <c:pt idx="9">
                  <c:v>-1.3438102353898458E-2</c:v>
                </c:pt>
                <c:pt idx="10">
                  <c:v>-1.3405852944042278E-2</c:v>
                </c:pt>
                <c:pt idx="11">
                  <c:v>-1.2980045361969823E-2</c:v>
                </c:pt>
                <c:pt idx="12">
                  <c:v>-1.2826443083817576E-2</c:v>
                </c:pt>
                <c:pt idx="13">
                  <c:v>-1.2303946857117498E-2</c:v>
                </c:pt>
                <c:pt idx="14">
                  <c:v>-1.1641460137707661E-2</c:v>
                </c:pt>
                <c:pt idx="15">
                  <c:v>-1.1054207408917646E-2</c:v>
                </c:pt>
                <c:pt idx="16">
                  <c:v>-1.046119847205765E-2</c:v>
                </c:pt>
                <c:pt idx="17">
                  <c:v>-9.7488565877458661E-3</c:v>
                </c:pt>
                <c:pt idx="18">
                  <c:v>-8.9329409206117521E-3</c:v>
                </c:pt>
                <c:pt idx="19">
                  <c:v>-8.094803077319539E-3</c:v>
                </c:pt>
                <c:pt idx="20">
                  <c:v>-7.2576709513343411E-3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46-4FF6-BECB-2B99F21B7230}"/>
            </c:ext>
          </c:extLst>
        </c:ser>
        <c:ser>
          <c:idx val="3"/>
          <c:order val="3"/>
          <c:tx>
            <c:v>Incremental ENE (IRS)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DVA)'!$N$12:$N$40</c:f>
              <c:numCache>
                <c:formatCode>#,##0.0000_ ;\-#,##0.0000\ </c:formatCode>
                <c:ptCount val="29"/>
                <c:pt idx="0">
                  <c:v>1.5337368223195577E-2</c:v>
                </c:pt>
                <c:pt idx="1">
                  <c:v>2.0679555109165571E-3</c:v>
                </c:pt>
                <c:pt idx="2">
                  <c:v>1.4016805187829994E-3</c:v>
                </c:pt>
                <c:pt idx="3">
                  <c:v>1.9999772934171235E-3</c:v>
                </c:pt>
                <c:pt idx="4">
                  <c:v>2.5907489316851517E-3</c:v>
                </c:pt>
                <c:pt idx="5">
                  <c:v>3.469635464926837E-3</c:v>
                </c:pt>
                <c:pt idx="6">
                  <c:v>4.7072115069818118E-3</c:v>
                </c:pt>
                <c:pt idx="7">
                  <c:v>5.3375484082425918E-3</c:v>
                </c:pt>
                <c:pt idx="8">
                  <c:v>6.1763782801790117E-3</c:v>
                </c:pt>
                <c:pt idx="9">
                  <c:v>7.4452545689986313E-3</c:v>
                </c:pt>
                <c:pt idx="10">
                  <c:v>7.1993146487574315E-3</c:v>
                </c:pt>
                <c:pt idx="11">
                  <c:v>8.0104011565889973E-3</c:v>
                </c:pt>
                <c:pt idx="12">
                  <c:v>8.4460111343573948E-3</c:v>
                </c:pt>
                <c:pt idx="13">
                  <c:v>8.8348210056177785E-3</c:v>
                </c:pt>
                <c:pt idx="14">
                  <c:v>9.4296546706835824E-3</c:v>
                </c:pt>
                <c:pt idx="15">
                  <c:v>9.6281554479529952E-3</c:v>
                </c:pt>
                <c:pt idx="16">
                  <c:v>9.0303833626288466E-3</c:v>
                </c:pt>
                <c:pt idx="17">
                  <c:v>9.6008129093540801E-3</c:v>
                </c:pt>
                <c:pt idx="18">
                  <c:v>9.7459559224967584E-3</c:v>
                </c:pt>
                <c:pt idx="19">
                  <c:v>9.421802252580793E-3</c:v>
                </c:pt>
                <c:pt idx="20">
                  <c:v>9.0277537536156329E-3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946-4FF6-BECB-2B99F21B7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5354613211875096"/>
          <c:y val="2.3041474654377881E-2"/>
          <c:w val="0.6929077357624982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Stand-alone EPE (XCCY)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DVA)'!$O$12:$O$40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1.1852589924947752E-2</c:v>
                </c:pt>
                <c:pt idx="2">
                  <c:v>1.674327292308616E-2</c:v>
                </c:pt>
                <c:pt idx="3">
                  <c:v>2.0735670195449217E-2</c:v>
                </c:pt>
                <c:pt idx="4">
                  <c:v>2.4136013238540154E-2</c:v>
                </c:pt>
                <c:pt idx="5">
                  <c:v>2.6789378946419144E-2</c:v>
                </c:pt>
                <c:pt idx="6">
                  <c:v>2.8241893516033498E-2</c:v>
                </c:pt>
                <c:pt idx="7">
                  <c:v>3.018266030327519E-2</c:v>
                </c:pt>
                <c:pt idx="8">
                  <c:v>3.1756988778796395E-2</c:v>
                </c:pt>
                <c:pt idx="9">
                  <c:v>3.3928401358992485E-2</c:v>
                </c:pt>
                <c:pt idx="10">
                  <c:v>3.4907490757968611E-2</c:v>
                </c:pt>
                <c:pt idx="11">
                  <c:v>3.632217513169464E-2</c:v>
                </c:pt>
                <c:pt idx="12">
                  <c:v>3.7266599471698456E-2</c:v>
                </c:pt>
                <c:pt idx="13">
                  <c:v>3.8334556100069646E-2</c:v>
                </c:pt>
                <c:pt idx="14">
                  <c:v>3.9793656943749263E-2</c:v>
                </c:pt>
                <c:pt idx="15">
                  <c:v>3.9961132261848255E-2</c:v>
                </c:pt>
                <c:pt idx="16">
                  <c:v>4.1017625458677355E-2</c:v>
                </c:pt>
                <c:pt idx="17">
                  <c:v>4.1974479075713722E-2</c:v>
                </c:pt>
                <c:pt idx="18">
                  <c:v>4.2382184522952088E-2</c:v>
                </c:pt>
                <c:pt idx="19">
                  <c:v>4.4129555497040313E-2</c:v>
                </c:pt>
                <c:pt idx="20">
                  <c:v>4.4820274808467585E-2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1E-417A-A825-2F4B63A6EC8C}"/>
            </c:ext>
          </c:extLst>
        </c:ser>
        <c:ser>
          <c:idx val="2"/>
          <c:order val="1"/>
          <c:tx>
            <c:v>Incremental EPE (XCCY)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DVA)'!$K$12:$K$40</c:f>
              <c:numCache>
                <c:formatCode>#,##0.0000_ ;\-#,##0.0000\ </c:formatCode>
                <c:ptCount val="29"/>
                <c:pt idx="0">
                  <c:v>-1.5337368223195969E-2</c:v>
                </c:pt>
                <c:pt idx="1">
                  <c:v>3.8379128717822074E-3</c:v>
                </c:pt>
                <c:pt idx="2">
                  <c:v>6.1960155102117782E-3</c:v>
                </c:pt>
                <c:pt idx="3">
                  <c:v>7.6097495124408622E-3</c:v>
                </c:pt>
                <c:pt idx="4">
                  <c:v>9.3034278671766044E-3</c:v>
                </c:pt>
                <c:pt idx="5">
                  <c:v>1.0578020573888937E-2</c:v>
                </c:pt>
                <c:pt idx="6">
                  <c:v>1.015741477973342E-2</c:v>
                </c:pt>
                <c:pt idx="7">
                  <c:v>1.1295216841429956E-2</c:v>
                </c:pt>
                <c:pt idx="8">
                  <c:v>1.1704119029373499E-2</c:v>
                </c:pt>
                <c:pt idx="9">
                  <c:v>1.3045044436095341E-2</c:v>
                </c:pt>
                <c:pt idx="10">
                  <c:v>1.430232316516895E-2</c:v>
                </c:pt>
                <c:pt idx="11">
                  <c:v>1.5331728613135675E-2</c:v>
                </c:pt>
                <c:pt idx="12">
                  <c:v>1.5994145253523454E-2</c:v>
                </c:pt>
                <c:pt idx="13">
                  <c:v>1.7195788237334433E-2</c:v>
                </c:pt>
                <c:pt idx="14">
                  <c:v>1.8722542135358063E-2</c:v>
                </c:pt>
                <c:pt idx="15">
                  <c:v>1.9278769404977615E-2</c:v>
                </c:pt>
                <c:pt idx="16">
                  <c:v>2.1526043623990923E-2</c:v>
                </c:pt>
                <c:pt idx="17">
                  <c:v>2.2624809578613788E-2</c:v>
                </c:pt>
                <c:pt idx="18">
                  <c:v>2.3703287679843657E-2</c:v>
                </c:pt>
                <c:pt idx="19">
                  <c:v>2.6612950167139996E-2</c:v>
                </c:pt>
                <c:pt idx="20">
                  <c:v>2.8534850103517594E-2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1E-417A-A825-2F4B63A6EC8C}"/>
            </c:ext>
          </c:extLst>
        </c:ser>
        <c:ser>
          <c:idx val="1"/>
          <c:order val="2"/>
          <c:tx>
            <c:v>Stand-alone ENE (XCCY)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DVA)'!$P$12:$P$40</c:f>
              <c:numCache>
                <c:formatCode>#,##0.0000_ ;\-#,##0.0000\ </c:formatCode>
                <c:ptCount val="29"/>
                <c:pt idx="0">
                  <c:v>-1.5337368223195577E-2</c:v>
                </c:pt>
                <c:pt idx="1">
                  <c:v>-1.1653271159356722E-2</c:v>
                </c:pt>
                <c:pt idx="2">
                  <c:v>-1.6097880247983361E-2</c:v>
                </c:pt>
                <c:pt idx="3">
                  <c:v>-1.973583294652681E-2</c:v>
                </c:pt>
                <c:pt idx="4">
                  <c:v>-2.1814988423543392E-2</c:v>
                </c:pt>
                <c:pt idx="5">
                  <c:v>-2.5304058396174521E-2</c:v>
                </c:pt>
                <c:pt idx="6">
                  <c:v>-2.8562109396009047E-2</c:v>
                </c:pt>
                <c:pt idx="7">
                  <c:v>-3.0505434163848228E-2</c:v>
                </c:pt>
                <c:pt idx="8">
                  <c:v>-3.3990529212080858E-2</c:v>
                </c:pt>
                <c:pt idx="9">
                  <c:v>-3.7150468252980684E-2</c:v>
                </c:pt>
                <c:pt idx="10">
                  <c:v>-3.995640998601268E-2</c:v>
                </c:pt>
                <c:pt idx="11">
                  <c:v>-4.2718920247606068E-2</c:v>
                </c:pt>
                <c:pt idx="12">
                  <c:v>-4.6029223020810146E-2</c:v>
                </c:pt>
                <c:pt idx="13">
                  <c:v>-4.7172693851320495E-2</c:v>
                </c:pt>
                <c:pt idx="14">
                  <c:v>-5.2686774824893361E-2</c:v>
                </c:pt>
                <c:pt idx="15">
                  <c:v>-5.7237679421925952E-2</c:v>
                </c:pt>
                <c:pt idx="16">
                  <c:v>-5.9146328658457127E-2</c:v>
                </c:pt>
                <c:pt idx="17">
                  <c:v>-6.2108134729555849E-2</c:v>
                </c:pt>
                <c:pt idx="18">
                  <c:v>-6.5666700668614159E-2</c:v>
                </c:pt>
                <c:pt idx="19">
                  <c:v>-6.8013462773795552E-2</c:v>
                </c:pt>
                <c:pt idx="20">
                  <c:v>-7.0750264049979597E-2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1E-417A-A825-2F4B63A6EC8C}"/>
            </c:ext>
          </c:extLst>
        </c:ser>
        <c:ser>
          <c:idx val="3"/>
          <c:order val="3"/>
          <c:tx>
            <c:v>Incremental ENE (XCCY)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DVA)'!$L$12:$L$40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-3.6385941061911784E-3</c:v>
                </c:pt>
                <c:pt idx="2">
                  <c:v>-5.5506228351090096E-3</c:v>
                </c:pt>
                <c:pt idx="3">
                  <c:v>-6.609912263518398E-3</c:v>
                </c:pt>
                <c:pt idx="4">
                  <c:v>-6.9824030521798775E-3</c:v>
                </c:pt>
                <c:pt idx="5">
                  <c:v>-9.0927000236443647E-3</c:v>
                </c:pt>
                <c:pt idx="6">
                  <c:v>-1.0477630659708992E-2</c:v>
                </c:pt>
                <c:pt idx="7">
                  <c:v>-1.1617990702002944E-2</c:v>
                </c:pt>
                <c:pt idx="8">
                  <c:v>-1.3937659462657979E-2</c:v>
                </c:pt>
                <c:pt idx="9">
                  <c:v>-1.6267111330083597E-2</c:v>
                </c:pt>
                <c:pt idx="10">
                  <c:v>-1.9351242393212967E-2</c:v>
                </c:pt>
                <c:pt idx="11">
                  <c:v>-2.1728473729047248E-2</c:v>
                </c:pt>
                <c:pt idx="12">
                  <c:v>-2.4756768802635179E-2</c:v>
                </c:pt>
                <c:pt idx="13">
                  <c:v>-2.6033925988585224E-2</c:v>
                </c:pt>
                <c:pt idx="14">
                  <c:v>-3.1615660016502116E-2</c:v>
                </c:pt>
                <c:pt idx="15">
                  <c:v>-3.6555316565055312E-2</c:v>
                </c:pt>
                <c:pt idx="16">
                  <c:v>-3.9654746823770626E-2</c:v>
                </c:pt>
                <c:pt idx="17">
                  <c:v>-4.2758465232455904E-2</c:v>
                </c:pt>
                <c:pt idx="18">
                  <c:v>-4.6987803825505645E-2</c:v>
                </c:pt>
                <c:pt idx="19">
                  <c:v>-5.0496857443895211E-2</c:v>
                </c:pt>
                <c:pt idx="20">
                  <c:v>-5.4464839345029631E-2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D1E-417A-A825-2F4B63A6E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4309545704217097"/>
          <c:y val="2.3041474654377881E-2"/>
          <c:w val="0.70597107960822325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Marginal EPE (XCCY)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DVA)'!$S$12:$S$40</c:f>
              <c:numCache>
                <c:formatCode>#,##0.0000_ ;\-#,##0.0000\ </c:formatCode>
                <c:ptCount val="29"/>
                <c:pt idx="0">
                  <c:v>-1.5337368223195577E-2</c:v>
                </c:pt>
                <c:pt idx="1">
                  <c:v>7.2993107891997948E-3</c:v>
                </c:pt>
                <c:pt idx="2">
                  <c:v>1.1116135697214799E-2</c:v>
                </c:pt>
                <c:pt idx="3">
                  <c:v>1.3824119212606446E-2</c:v>
                </c:pt>
                <c:pt idx="4">
                  <c:v>1.7203899102983266E-2</c:v>
                </c:pt>
                <c:pt idx="5">
                  <c:v>1.9264179184202378E-2</c:v>
                </c:pt>
                <c:pt idx="6">
                  <c:v>2.0107756153188119E-2</c:v>
                </c:pt>
                <c:pt idx="7">
                  <c:v>2.2057416459524016E-2</c:v>
                </c:pt>
                <c:pt idx="8">
                  <c:v>2.3325279197238893E-2</c:v>
                </c:pt>
                <c:pt idx="9">
                  <c:v>2.5471412739810299E-2</c:v>
                </c:pt>
                <c:pt idx="10">
                  <c:v>2.7274283006443037E-2</c:v>
                </c:pt>
                <c:pt idx="11">
                  <c:v>2.9580126068510473E-2</c:v>
                </c:pt>
                <c:pt idx="12">
                  <c:v>3.1608808510676135E-2</c:v>
                </c:pt>
                <c:pt idx="13">
                  <c:v>3.2609858273912995E-2</c:v>
                </c:pt>
                <c:pt idx="14">
                  <c:v>3.4850946618173742E-2</c:v>
                </c:pt>
                <c:pt idx="15">
                  <c:v>3.5773203485432677E-2</c:v>
                </c:pt>
                <c:pt idx="16">
                  <c:v>3.7902590586127737E-2</c:v>
                </c:pt>
                <c:pt idx="17">
                  <c:v>3.9090365447616356E-2</c:v>
                </c:pt>
                <c:pt idx="18">
                  <c:v>3.9700843968492487E-2</c:v>
                </c:pt>
                <c:pt idx="19">
                  <c:v>4.2133512757999057E-2</c:v>
                </c:pt>
                <c:pt idx="20">
                  <c:v>4.3081261793819742E-2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96-44CB-9FCD-1E01E0419C98}"/>
            </c:ext>
          </c:extLst>
        </c:ser>
        <c:ser>
          <c:idx val="2"/>
          <c:order val="1"/>
          <c:tx>
            <c:v>Marginal EPE (IRS)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DVA)'!$Q$12:$Q$40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1.8040187560475353E-2</c:v>
                </c:pt>
                <c:pt idx="2">
                  <c:v>2.0711531386614242E-2</c:v>
                </c:pt>
                <c:pt idx="3">
                  <c:v>2.2969602730160882E-2</c:v>
                </c:pt>
                <c:pt idx="4">
                  <c:v>2.4437767603675189E-2</c:v>
                </c:pt>
                <c:pt idx="5">
                  <c:v>2.6915626718540073E-2</c:v>
                </c:pt>
                <c:pt idx="6">
                  <c:v>2.6970547381763726E-2</c:v>
                </c:pt>
                <c:pt idx="7">
                  <c:v>2.7361896349838669E-2</c:v>
                </c:pt>
                <c:pt idx="8">
                  <c:v>2.6743690277132463E-2</c:v>
                </c:pt>
                <c:pt idx="9">
                  <c:v>2.6158384908798928E-2</c:v>
                </c:pt>
                <c:pt idx="10">
                  <c:v>2.5616479354109777E-2</c:v>
                </c:pt>
                <c:pt idx="11">
                  <c:v>2.3973825868670744E-2</c:v>
                </c:pt>
                <c:pt idx="12">
                  <c:v>2.1711922456981423E-2</c:v>
                </c:pt>
                <c:pt idx="13">
                  <c:v>2.0776162088240811E-2</c:v>
                </c:pt>
                <c:pt idx="14">
                  <c:v>1.8910461279576893E-2</c:v>
                </c:pt>
                <c:pt idx="15">
                  <c:v>1.6992022653085283E-2</c:v>
                </c:pt>
                <c:pt idx="16">
                  <c:v>1.5263315852463197E-2</c:v>
                </c:pt>
                <c:pt idx="17">
                  <c:v>1.3302450865668534E-2</c:v>
                </c:pt>
                <c:pt idx="18">
                  <c:v>1.1926859161958023E-2</c:v>
                </c:pt>
                <c:pt idx="19">
                  <c:v>1.0360590838716982E-2</c:v>
                </c:pt>
                <c:pt idx="20">
                  <c:v>9.1047294092559319E-3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96-44CB-9FCD-1E01E0419C98}"/>
            </c:ext>
          </c:extLst>
        </c:ser>
        <c:ser>
          <c:idx val="1"/>
          <c:order val="2"/>
          <c:tx>
            <c:v>Marginal ENE (XCCY)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DVA)'!$T$12:$T$40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-7.0999920236087645E-3</c:v>
                </c:pt>
                <c:pt idx="2">
                  <c:v>-1.0470743022112044E-2</c:v>
                </c:pt>
                <c:pt idx="3">
                  <c:v>-1.282428196368403E-2</c:v>
                </c:pt>
                <c:pt idx="4">
                  <c:v>-1.4882874287986528E-2</c:v>
                </c:pt>
                <c:pt idx="5">
                  <c:v>-1.777885863395778E-2</c:v>
                </c:pt>
                <c:pt idx="6">
                  <c:v>-2.0427972033163683E-2</c:v>
                </c:pt>
                <c:pt idx="7">
                  <c:v>-2.2380190320097082E-2</c:v>
                </c:pt>
                <c:pt idx="8">
                  <c:v>-2.5558819630523352E-2</c:v>
                </c:pt>
                <c:pt idx="9">
                  <c:v>-2.8693479633798476E-2</c:v>
                </c:pt>
                <c:pt idx="10">
                  <c:v>-3.2323202234487119E-2</c:v>
                </c:pt>
                <c:pt idx="11">
                  <c:v>-3.5976871184421916E-2</c:v>
                </c:pt>
                <c:pt idx="12">
                  <c:v>-4.0371432059787847E-2</c:v>
                </c:pt>
                <c:pt idx="13">
                  <c:v>-4.1447996025163809E-2</c:v>
                </c:pt>
                <c:pt idx="14">
                  <c:v>-4.7744064499317833E-2</c:v>
                </c:pt>
                <c:pt idx="15">
                  <c:v>-5.3049750645510346E-2</c:v>
                </c:pt>
                <c:pt idx="16">
                  <c:v>-5.6031293785907481E-2</c:v>
                </c:pt>
                <c:pt idx="17">
                  <c:v>-5.9224021101458482E-2</c:v>
                </c:pt>
                <c:pt idx="18">
                  <c:v>-6.2985360114154579E-2</c:v>
                </c:pt>
                <c:pt idx="19">
                  <c:v>-6.6017420034754318E-2</c:v>
                </c:pt>
                <c:pt idx="20">
                  <c:v>-6.9011251035331775E-2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896-44CB-9FCD-1E01E0419C98}"/>
            </c:ext>
          </c:extLst>
        </c:ser>
        <c:ser>
          <c:idx val="3"/>
          <c:order val="3"/>
          <c:tx>
            <c:v>Marginal ENE (IRS)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DVA)'!$R$12:$R$40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-2.4853236248314021E-3</c:v>
                </c:pt>
                <c:pt idx="2">
                  <c:v>-4.2254567070883096E-3</c:v>
                </c:pt>
                <c:pt idx="3">
                  <c:v>-4.9115736894256553E-3</c:v>
                </c:pt>
                <c:pt idx="4">
                  <c:v>-4.3413652038717093E-3</c:v>
                </c:pt>
                <c:pt idx="5">
                  <c:v>-4.05556429728989E-3</c:v>
                </c:pt>
                <c:pt idx="6">
                  <c:v>-3.4269258558635388E-3</c:v>
                </c:pt>
                <c:pt idx="7">
                  <c:v>-2.7876954355085526E-3</c:v>
                </c:pt>
                <c:pt idx="8">
                  <c:v>-2.2553313013785065E-3</c:v>
                </c:pt>
                <c:pt idx="9">
                  <c:v>-1.0117340501835661E-3</c:v>
                </c:pt>
                <c:pt idx="10">
                  <c:v>-4.3389310276812596E-4</c:v>
                </c:pt>
                <c:pt idx="11">
                  <c:v>1.2683520934048437E-3</c:v>
                </c:pt>
                <c:pt idx="12">
                  <c:v>2.7882201733350712E-3</c:v>
                </c:pt>
                <c:pt idx="13">
                  <c:v>3.1101231794610847E-3</c:v>
                </c:pt>
                <c:pt idx="14">
                  <c:v>4.4869443451080737E-3</c:v>
                </c:pt>
                <c:pt idx="15">
                  <c:v>5.4402266715374041E-3</c:v>
                </c:pt>
                <c:pt idx="16">
                  <c:v>5.9153484900791612E-3</c:v>
                </c:pt>
                <c:pt idx="17">
                  <c:v>6.7166992812566721E-3</c:v>
                </c:pt>
                <c:pt idx="18">
                  <c:v>7.0646153680371648E-3</c:v>
                </c:pt>
                <c:pt idx="19">
                  <c:v>7.4257595135395352E-3</c:v>
                </c:pt>
                <c:pt idx="20">
                  <c:v>7.2887407389677673E-3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896-44CB-9FCD-1E01E0419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5354613211875096"/>
          <c:y val="2.3041474654377881E-2"/>
          <c:w val="0.6929077357624982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hyperlink" Target="https://cvacentral.com/books/credit-value-adjustment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13</xdr:col>
      <xdr:colOff>22860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941070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CVA Calculation for an Interest Rate Swap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CVA for a 10-year interest rate swap using a one-factor Hull-White model. Can be used to reproduce simiar to Table 14.1 and Figures 14.3/14.4</a:t>
          </a:r>
          <a:endParaRPr lang="en-GB"/>
        </a:p>
      </xdr:txBody>
    </xdr:sp>
    <xdr:clientData/>
  </xdr:twoCellAnchor>
  <xdr:twoCellAnchor>
    <xdr:from>
      <xdr:col>5</xdr:col>
      <xdr:colOff>266700</xdr:colOff>
      <xdr:row>12</xdr:row>
      <xdr:rowOff>99060</xdr:rowOff>
    </xdr:from>
    <xdr:to>
      <xdr:col>13</xdr:col>
      <xdr:colOff>365760</xdr:colOff>
      <xdr:row>30</xdr:row>
      <xdr:rowOff>167640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640080</xdr:colOff>
      <xdr:row>0</xdr:row>
      <xdr:rowOff>144780</xdr:rowOff>
    </xdr:from>
    <xdr:to>
      <xdr:col>12</xdr:col>
      <xdr:colOff>609600</xdr:colOff>
      <xdr:row>3</xdr:row>
      <xdr:rowOff>89535</xdr:rowOff>
    </xdr:to>
    <xdr:sp macro="" textlink="">
      <xdr:nvSpPr>
        <xdr:cNvPr id="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CAAAA0A-3C8A-4D06-A572-605D919B0AF2}"/>
            </a:ext>
          </a:extLst>
        </xdr:cNvPr>
        <xdr:cNvSpPr txBox="1">
          <a:spLocks noChangeArrowheads="1"/>
        </xdr:cNvSpPr>
      </xdr:nvSpPr>
      <xdr:spPr bwMode="auto">
        <a:xfrm>
          <a:off x="8016240" y="144780"/>
          <a:ext cx="135636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60960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FF0C475-9D76-4F29-B79B-28E4741DBDBD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68680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CVA/DVA Calculations 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CVA for a 10-year interest rate swap using the EPE/ENE in Spreadsheet 14.1. Can reproduce values in Table 14.2 approximately (these were calculated with Monte Carlo simulation).</a:t>
          </a:r>
          <a:endParaRPr lang="en-GB"/>
        </a:p>
      </xdr:txBody>
    </xdr:sp>
    <xdr:clientData/>
  </xdr:twoCellAnchor>
  <xdr:twoCellAnchor>
    <xdr:from>
      <xdr:col>9</xdr:col>
      <xdr:colOff>571500</xdr:colOff>
      <xdr:row>0</xdr:row>
      <xdr:rowOff>121920</xdr:rowOff>
    </xdr:from>
    <xdr:to>
      <xdr:col>11</xdr:col>
      <xdr:colOff>632460</xdr:colOff>
      <xdr:row>3</xdr:row>
      <xdr:rowOff>66675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E2F72F-5B65-409C-836B-185540D7DA97}"/>
            </a:ext>
          </a:extLst>
        </xdr:cNvPr>
        <xdr:cNvSpPr txBox="1">
          <a:spLocks noChangeArrowheads="1"/>
        </xdr:cNvSpPr>
      </xdr:nvSpPr>
      <xdr:spPr bwMode="auto">
        <a:xfrm>
          <a:off x="7299960" y="12192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4</xdr:col>
      <xdr:colOff>449580</xdr:colOff>
      <xdr:row>12</xdr:row>
      <xdr:rowOff>129540</xdr:rowOff>
    </xdr:from>
    <xdr:to>
      <xdr:col>13</xdr:col>
      <xdr:colOff>30480</xdr:colOff>
      <xdr:row>31</xdr:row>
      <xdr:rowOff>15240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D2F66BB-CD13-40EA-9555-A2B406BD5B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15240</xdr:rowOff>
    </xdr:from>
    <xdr:to>
      <xdr:col>14</xdr:col>
      <xdr:colOff>144780</xdr:colOff>
      <xdr:row>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B6BB51A-F3DF-4086-A446-CECAA1BC2057}"/>
            </a:ext>
          </a:extLst>
        </xdr:cNvPr>
        <xdr:cNvSpPr txBox="1">
          <a:spLocks noChangeArrowheads="1"/>
        </xdr:cNvSpPr>
      </xdr:nvSpPr>
      <xdr:spPr bwMode="auto">
        <a:xfrm>
          <a:off x="7620" y="15240"/>
          <a:ext cx="11064240" cy="115824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Incremental CVA and DVA calculations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incremental CVA for a 7-year interest rate swap to reproduce the values in Table 14.3. The EPE and ENE are shown in Figure 20.22.</a:t>
          </a: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312420</xdr:colOff>
      <xdr:row>16</xdr:row>
      <xdr:rowOff>114300</xdr:rowOff>
    </xdr:from>
    <xdr:to>
      <xdr:col>7</xdr:col>
      <xdr:colOff>372750</xdr:colOff>
      <xdr:row>34</xdr:row>
      <xdr:rowOff>79650</xdr:rowOff>
    </xdr:to>
    <xdr:graphicFrame macro="">
      <xdr:nvGraphicFramePr>
        <xdr:cNvPr id="4" name="Chart 9">
          <a:extLst>
            <a:ext uri="{FF2B5EF4-FFF2-40B4-BE49-F238E27FC236}">
              <a16:creationId xmlns:a16="http://schemas.microsoft.com/office/drawing/2014/main" id="{906377C6-6E96-488B-886A-0E81E3122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373380</xdr:colOff>
      <xdr:row>16</xdr:row>
      <xdr:rowOff>114300</xdr:rowOff>
    </xdr:from>
    <xdr:to>
      <xdr:col>14</xdr:col>
      <xdr:colOff>220350</xdr:colOff>
      <xdr:row>34</xdr:row>
      <xdr:rowOff>81180</xdr:rowOff>
    </xdr:to>
    <xdr:graphicFrame macro="">
      <xdr:nvGraphicFramePr>
        <xdr:cNvPr id="5" name="Chart 9">
          <a:extLst>
            <a:ext uri="{FF2B5EF4-FFF2-40B4-BE49-F238E27FC236}">
              <a16:creationId xmlns:a16="http://schemas.microsoft.com/office/drawing/2014/main" id="{38DC7FE3-394C-4169-8A75-9AA36F1C1E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487680</xdr:colOff>
      <xdr:row>1</xdr:row>
      <xdr:rowOff>0</xdr:rowOff>
    </xdr:from>
    <xdr:to>
      <xdr:col>14</xdr:col>
      <xdr:colOff>60960</xdr:colOff>
      <xdr:row>3</xdr:row>
      <xdr:rowOff>112395</xdr:rowOff>
    </xdr:to>
    <xdr:sp macro="" textlink="">
      <xdr:nvSpPr>
        <xdr:cNvPr id="6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7741F97-2352-47E1-B11C-5EA49B3C4C5F}"/>
            </a:ext>
          </a:extLst>
        </xdr:cNvPr>
        <xdr:cNvSpPr txBox="1">
          <a:spLocks noChangeArrowheads="1"/>
        </xdr:cNvSpPr>
      </xdr:nvSpPr>
      <xdr:spPr bwMode="auto">
        <a:xfrm>
          <a:off x="8610600" y="16764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21</xdr:col>
      <xdr:colOff>53340</xdr:colOff>
      <xdr:row>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DCC7ADA-E6BF-4A98-B0E9-0F6B83610E83}"/>
            </a:ext>
          </a:extLst>
        </xdr:cNvPr>
        <xdr:cNvSpPr txBox="1">
          <a:spLocks noChangeArrowheads="1"/>
        </xdr:cNvSpPr>
      </xdr:nvSpPr>
      <xdr:spPr bwMode="auto">
        <a:xfrm>
          <a:off x="0" y="15240"/>
          <a:ext cx="13304520" cy="115824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Marginal CVA and DVA calculations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Marginal CVA and DVA for IR and XCCY swaps according to the results in Table 14.4.</a:t>
          </a:r>
        </a:p>
      </xdr:txBody>
    </xdr:sp>
    <xdr:clientData/>
  </xdr:twoCellAnchor>
  <xdr:twoCellAnchor>
    <xdr:from>
      <xdr:col>15</xdr:col>
      <xdr:colOff>175260</xdr:colOff>
      <xdr:row>7</xdr:row>
      <xdr:rowOff>91440</xdr:rowOff>
    </xdr:from>
    <xdr:to>
      <xdr:col>24</xdr:col>
      <xdr:colOff>144150</xdr:colOff>
      <xdr:row>26</xdr:row>
      <xdr:rowOff>149700</xdr:rowOff>
    </xdr:to>
    <xdr:graphicFrame macro="">
      <xdr:nvGraphicFramePr>
        <xdr:cNvPr id="4" name="Chart 9">
          <a:extLst>
            <a:ext uri="{FF2B5EF4-FFF2-40B4-BE49-F238E27FC236}">
              <a16:creationId xmlns:a16="http://schemas.microsoft.com/office/drawing/2014/main" id="{495B65CC-E421-4DA5-975E-2E587429EF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297180</xdr:colOff>
      <xdr:row>7</xdr:row>
      <xdr:rowOff>91440</xdr:rowOff>
    </xdr:from>
    <xdr:to>
      <xdr:col>15</xdr:col>
      <xdr:colOff>174630</xdr:colOff>
      <xdr:row>26</xdr:row>
      <xdr:rowOff>149700</xdr:rowOff>
    </xdr:to>
    <xdr:graphicFrame macro="">
      <xdr:nvGraphicFramePr>
        <xdr:cNvPr id="5" name="Chart 9">
          <a:extLst>
            <a:ext uri="{FF2B5EF4-FFF2-40B4-BE49-F238E27FC236}">
              <a16:creationId xmlns:a16="http://schemas.microsoft.com/office/drawing/2014/main" id="{CF50332E-1EE0-4ACE-A083-383F1166F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281940</xdr:colOff>
      <xdr:row>0</xdr:row>
      <xdr:rowOff>160020</xdr:rowOff>
    </xdr:from>
    <xdr:to>
      <xdr:col>20</xdr:col>
      <xdr:colOff>480060</xdr:colOff>
      <xdr:row>3</xdr:row>
      <xdr:rowOff>104775</xdr:rowOff>
    </xdr:to>
    <xdr:sp macro="" textlink="">
      <xdr:nvSpPr>
        <xdr:cNvPr id="6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EB88792-DC70-4D09-A9AE-87A0FBC46CBD}"/>
            </a:ext>
          </a:extLst>
        </xdr:cNvPr>
        <xdr:cNvSpPr txBox="1">
          <a:spLocks noChangeArrowheads="1"/>
        </xdr:cNvSpPr>
      </xdr:nvSpPr>
      <xdr:spPr bwMode="auto">
        <a:xfrm>
          <a:off x="6865620" y="16002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10</xdr:col>
      <xdr:colOff>358140</xdr:colOff>
      <xdr:row>26</xdr:row>
      <xdr:rowOff>152400</xdr:rowOff>
    </xdr:from>
    <xdr:to>
      <xdr:col>19</xdr:col>
      <xdr:colOff>418470</xdr:colOff>
      <xdr:row>46</xdr:row>
      <xdr:rowOff>103980</xdr:rowOff>
    </xdr:to>
    <xdr:graphicFrame macro="">
      <xdr:nvGraphicFramePr>
        <xdr:cNvPr id="7" name="Chart 9">
          <a:extLst>
            <a:ext uri="{FF2B5EF4-FFF2-40B4-BE49-F238E27FC236}">
              <a16:creationId xmlns:a16="http://schemas.microsoft.com/office/drawing/2014/main" id="{035B31AD-575B-48B4-A876-5D1F27D4E8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AC60"/>
  <sheetViews>
    <sheetView showGridLines="0" tabSelected="1" workbookViewId="0">
      <pane ySplit="6" topLeftCell="A7" activePane="bottomLeft" state="frozen"/>
      <selection pane="bottomLeft" activeCell="L12" sqref="L12"/>
    </sheetView>
  </sheetViews>
  <sheetFormatPr defaultColWidth="9.109375" defaultRowHeight="13.2" x14ac:dyDescent="0.25"/>
  <cols>
    <col min="1" max="1" width="9.109375" style="1"/>
    <col min="2" max="2" width="17.88671875" style="1" bestFit="1" customWidth="1"/>
    <col min="3" max="3" width="11.21875" style="1" customWidth="1"/>
    <col min="4" max="4" width="12.33203125" style="1" bestFit="1" customWidth="1"/>
    <col min="5" max="5" width="10.109375" style="1" customWidth="1"/>
    <col min="6" max="6" width="8.109375" style="1" customWidth="1"/>
    <col min="7" max="8" width="8.88671875" style="1" bestFit="1" customWidth="1"/>
    <col min="9" max="9" width="10.88671875" style="1" bestFit="1" customWidth="1"/>
    <col min="10" max="12" width="10.109375" style="1" customWidth="1"/>
    <col min="13" max="16384" width="9.109375" style="1"/>
  </cols>
  <sheetData>
    <row r="1" spans="2:29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29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29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29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29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29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29" ht="14.4" customHeight="1" thickBot="1" x14ac:dyDescent="0.3"/>
    <row r="8" spans="2:29" ht="14.4" customHeight="1" thickBot="1" x14ac:dyDescent="0.35">
      <c r="B8" s="151" t="s">
        <v>24</v>
      </c>
      <c r="C8" s="152"/>
      <c r="D8" s="93"/>
      <c r="E8" s="121"/>
      <c r="F8" s="122"/>
      <c r="G8" s="123" t="s">
        <v>3</v>
      </c>
      <c r="H8" s="122" t="s">
        <v>4</v>
      </c>
      <c r="I8" s="123" t="s">
        <v>5</v>
      </c>
      <c r="J8" s="122" t="s">
        <v>30</v>
      </c>
      <c r="K8" s="122" t="s">
        <v>6</v>
      </c>
      <c r="L8" s="123" t="s">
        <v>7</v>
      </c>
      <c r="M8" s="122" t="s">
        <v>22</v>
      </c>
      <c r="N8" s="122" t="s">
        <v>23</v>
      </c>
      <c r="O8" s="124" t="s">
        <v>13</v>
      </c>
      <c r="P8" s="93"/>
      <c r="Q8" s="93"/>
      <c r="R8" s="93"/>
    </row>
    <row r="9" spans="2:29" ht="14.4" customHeight="1" x14ac:dyDescent="0.3">
      <c r="B9" s="95" t="s">
        <v>0</v>
      </c>
      <c r="C9" s="96" t="s">
        <v>1</v>
      </c>
      <c r="D9" s="93"/>
      <c r="E9" s="101">
        <v>1</v>
      </c>
      <c r="F9" s="125">
        <v>0</v>
      </c>
      <c r="G9" s="126" cm="1">
        <f t="array" aca="1" ref="G9" ca="1">EXP(-Cubic_SPline(ZCTime,ZCRate,F9)*F9)</f>
        <v>1</v>
      </c>
      <c r="H9" s="127"/>
      <c r="I9" s="126"/>
      <c r="J9" s="127">
        <f ca="1">(SwapRateSA*SUM(H10:$H$49)-SUM(I10:$I$49))*IF(PayRec="PAY",-1,1)</f>
        <v>0</v>
      </c>
      <c r="K9" s="127">
        <f ca="1">MAX(J9,0)</f>
        <v>0</v>
      </c>
      <c r="L9" s="126">
        <f ca="1">MIN(J9,0)</f>
        <v>0</v>
      </c>
      <c r="M9" s="127" cm="1">
        <f t="array" aca="1" ref="M9" ca="1">Cubic_SPline(CreditCurveTenor,CreditCurveVal,F9)</f>
        <v>1.3565594854298979E-3</v>
      </c>
      <c r="N9" s="127">
        <f t="shared" ref="N9:N49" ca="1" si="0">EXP(-M9*F9/$C$11)</f>
        <v>1</v>
      </c>
      <c r="O9" s="128">
        <f ca="1">EXP(-M9*F9)*G9</f>
        <v>1</v>
      </c>
      <c r="P9" s="93"/>
      <c r="Q9" s="55" t="s">
        <v>57</v>
      </c>
      <c r="R9" s="93"/>
      <c r="X9" s="1" t="s">
        <v>10</v>
      </c>
      <c r="Y9" s="1" t="s">
        <v>11</v>
      </c>
      <c r="Z9" s="1" t="s">
        <v>9</v>
      </c>
      <c r="AA9" s="1" t="s">
        <v>12</v>
      </c>
      <c r="AB9" s="9" t="s">
        <v>47</v>
      </c>
      <c r="AC9" s="9" t="s">
        <v>48</v>
      </c>
    </row>
    <row r="10" spans="2:29" ht="14.4" customHeight="1" x14ac:dyDescent="0.3">
      <c r="B10" s="101" t="s">
        <v>18</v>
      </c>
      <c r="C10" s="129">
        <f ca="1">C16</f>
        <v>1.7805350704579715E-2</v>
      </c>
      <c r="D10" s="130"/>
      <c r="E10" s="101">
        <f>E9+1</f>
        <v>2</v>
      </c>
      <c r="F10" s="125">
        <f>F9+0.25</f>
        <v>0.25</v>
      </c>
      <c r="G10" s="126" cm="1">
        <f t="array" aca="1" ref="G10" ca="1">EXP(-Cubic_SPline(ZCTime,ZCRate,F10)*F10)</f>
        <v>0.99800199857252792</v>
      </c>
      <c r="H10" s="127">
        <f t="shared" ref="H10:H49" ca="1" si="1">0.25*G10</f>
        <v>0.24950049964313198</v>
      </c>
      <c r="I10" s="126">
        <f t="shared" ref="I10:I49" ca="1" si="2">G9-G10</f>
        <v>1.9980014274720848E-3</v>
      </c>
      <c r="J10" s="127">
        <f ca="1">(SwapRateSA*SUM(H11:$H$49)-SUM(I11:$I$49))*IF(PayRec="PAY",-1,1)</f>
        <v>2.4444424696417333E-3</v>
      </c>
      <c r="K10" s="127" cm="1">
        <f t="array" aca="1" ref="K10" ca="1">PriceSwaption($F$9:$F$49,$G$9:$G$49,E10,SwapRateSA,MeanRvs,IRVol,IF(PayRec="PAY",1,-1))</f>
        <v>1.2663129390075464E-2</v>
      </c>
      <c r="L10" s="126" cm="1">
        <f t="array" aca="1" ref="L10" ca="1">-PriceSwaption($F$9:$F$49,$G$9:$G$49,E10,SwapRateSA,MeanRvs,IRVol,IF(PayRec="PAY",-1,1))</f>
        <v>-1.0218686920433723E-2</v>
      </c>
      <c r="M10" s="127" cm="1">
        <f t="array" aca="1" ref="M10" ca="1">Cubic_SPline(CreditCurveTenor,CreditCurveVal,F10)</f>
        <v>2.2517309203067271E-3</v>
      </c>
      <c r="N10" s="127">
        <f t="shared" ca="1" si="0"/>
        <v>0.99906221877511736</v>
      </c>
      <c r="O10" s="128">
        <f t="shared" ref="O10:O49" ca="1" si="3">EXP(-M10*F10)</f>
        <v>0.99943722568682525</v>
      </c>
      <c r="P10" s="93"/>
      <c r="Q10" s="55" t="s">
        <v>58</v>
      </c>
      <c r="R10" s="93"/>
      <c r="W10" s="10">
        <v>1</v>
      </c>
      <c r="X10" s="13">
        <v>5.0000000000000001E-4</v>
      </c>
      <c r="Y10" s="13">
        <v>5.0000000000000001E-3</v>
      </c>
      <c r="Z10" s="13">
        <v>1.8E-3</v>
      </c>
      <c r="AA10" s="13">
        <v>0.14499999999999999</v>
      </c>
      <c r="AB10" s="22">
        <v>0.01</v>
      </c>
      <c r="AC10" s="22">
        <v>1.4999999999999999E-2</v>
      </c>
    </row>
    <row r="11" spans="2:29" ht="14.4" customHeight="1" x14ac:dyDescent="0.3">
      <c r="B11" s="101" t="s">
        <v>8</v>
      </c>
      <c r="C11" s="107">
        <v>0.6</v>
      </c>
      <c r="D11" s="93"/>
      <c r="E11" s="101">
        <f t="shared" ref="E11:E49" si="4">E10+1</f>
        <v>3</v>
      </c>
      <c r="F11" s="125">
        <f t="shared" ref="F11:F49" si="5">F10+0.25</f>
        <v>0.5</v>
      </c>
      <c r="G11" s="126" cm="1">
        <f t="array" aca="1" ref="G11" ca="1">EXP(-Cubic_SPline(ZCTime,ZCRate,F11)*F11)</f>
        <v>0.99575901823932311</v>
      </c>
      <c r="H11" s="127">
        <f t="shared" ca="1" si="1"/>
        <v>0.24893975455983078</v>
      </c>
      <c r="I11" s="126">
        <f t="shared" ca="1" si="2"/>
        <v>2.2429803332048026E-3</v>
      </c>
      <c r="J11" s="127">
        <f ca="1">(SwapRateSA*SUM(H12:$H$49)-SUM(I12:$I$49))*IF(PayRec="PAY",-1,1)</f>
        <v>4.633921770686722E-3</v>
      </c>
      <c r="K11" s="127" cm="1">
        <f t="array" aca="1" ref="K11" ca="1">PriceSwaption($F$9:$F$49,$G$9:$G$49,E11,SwapRateSA,MeanRvs,IRVol,IF(PayRec="PAY",1,-1))</f>
        <v>1.8075346942871481E-2</v>
      </c>
      <c r="L11" s="126" cm="1">
        <f t="array" aca="1" ref="L11" ca="1">-PriceSwaption($F$9:$F$49,$G$9:$G$49,E11,SwapRateSA,MeanRvs,IRVol,IF(PayRec="PAY",-1,1))</f>
        <v>-1.3441425172184163E-2</v>
      </c>
      <c r="M11" s="127" cm="1">
        <f t="array" aca="1" ref="M11" ca="1">Cubic_SPline(CreditCurveTenor,CreditCurveVal,F11)</f>
        <v>3.160349417157704E-3</v>
      </c>
      <c r="N11" s="127">
        <f t="shared" ca="1" si="0"/>
        <v>0.99736984043228616</v>
      </c>
      <c r="O11" s="128">
        <f t="shared" ca="1" si="3"/>
        <v>0.99842107311013228</v>
      </c>
      <c r="P11" s="93"/>
      <c r="Q11" s="55" t="s">
        <v>59</v>
      </c>
      <c r="R11" s="93"/>
      <c r="W11" s="10">
        <v>3</v>
      </c>
      <c r="X11" s="13">
        <v>8.9999999999999998E-4</v>
      </c>
      <c r="Y11" s="13">
        <v>1.2E-2</v>
      </c>
      <c r="Z11" s="13">
        <v>5.0000000000000001E-3</v>
      </c>
      <c r="AA11" s="13">
        <v>0.13</v>
      </c>
      <c r="AB11" s="22">
        <v>0.01</v>
      </c>
      <c r="AC11" s="22">
        <v>1.4999999999999999E-2</v>
      </c>
    </row>
    <row r="12" spans="2:29" ht="14.4" customHeight="1" x14ac:dyDescent="0.3">
      <c r="B12" s="101" t="s">
        <v>26</v>
      </c>
      <c r="C12" s="131" t="s">
        <v>21</v>
      </c>
      <c r="D12" s="93"/>
      <c r="E12" s="101">
        <f t="shared" si="4"/>
        <v>4</v>
      </c>
      <c r="F12" s="125">
        <f t="shared" si="5"/>
        <v>0.75</v>
      </c>
      <c r="G12" s="126" cm="1">
        <f t="array" aca="1" ref="G12" ca="1">EXP(-Cubic_SPline(ZCTime,ZCRate,F12)*F12)</f>
        <v>0.99335818782539353</v>
      </c>
      <c r="H12" s="127">
        <f t="shared" ca="1" si="1"/>
        <v>0.24833954695634838</v>
      </c>
      <c r="I12" s="126">
        <f t="shared" ca="1" si="2"/>
        <v>2.4008304139295777E-3</v>
      </c>
      <c r="J12" s="127">
        <f ca="1">(SwapRateSA*SUM(H13:$H$49)-SUM(I13:$I$49))*IF(PayRec="PAY",-1,1)</f>
        <v>6.6548640841314066E-3</v>
      </c>
      <c r="K12" s="127" cm="1">
        <f t="array" aca="1" ref="K12" ca="1">PriceSwaption($F$9:$F$49,$G$9:$G$49,E12,SwapRateSA,MeanRvs,IRVol,IF(PayRec="PAY",1,-1))</f>
        <v>2.2111198349289277E-2</v>
      </c>
      <c r="L12" s="126" cm="1">
        <f t="array" aca="1" ref="L12" ca="1">-PriceSwaption($F$9:$F$49,$G$9:$G$49,E12,SwapRateSA,MeanRvs,IRVol,IF(PayRec="PAY",-1,1))</f>
        <v>-1.5456334265157473E-2</v>
      </c>
      <c r="M12" s="127" cm="1">
        <f t="array" aca="1" ref="M12" ca="1">Cubic_SPline(CreditCurveTenor,CreditCurveVal,F12)</f>
        <v>4.0779333980935917E-3</v>
      </c>
      <c r="N12" s="127">
        <f t="shared" ca="1" si="0"/>
        <v>0.99491555303431323</v>
      </c>
      <c r="O12" s="128">
        <f t="shared" ca="1" si="3"/>
        <v>0.9969462222452401</v>
      </c>
      <c r="P12" s="93"/>
      <c r="Q12" s="55" t="s">
        <v>60</v>
      </c>
      <c r="R12" s="93"/>
      <c r="W12" s="10">
        <v>5</v>
      </c>
      <c r="X12" s="13">
        <v>2.2000000000000001E-3</v>
      </c>
      <c r="Y12" s="13">
        <v>1.7000000000000001E-2</v>
      </c>
      <c r="Z12" s="13">
        <v>9.1999999999999998E-3</v>
      </c>
      <c r="AA12" s="13">
        <v>0.125</v>
      </c>
      <c r="AB12" s="22">
        <v>0.01</v>
      </c>
      <c r="AC12" s="22">
        <v>1.4999999999999999E-2</v>
      </c>
    </row>
    <row r="13" spans="2:29" ht="14.4" customHeight="1" thickBot="1" x14ac:dyDescent="0.35">
      <c r="B13" s="108" t="s">
        <v>29</v>
      </c>
      <c r="C13" s="132" t="s">
        <v>11</v>
      </c>
      <c r="D13" s="93"/>
      <c r="E13" s="101">
        <f t="shared" si="4"/>
        <v>5</v>
      </c>
      <c r="F13" s="125">
        <f t="shared" si="5"/>
        <v>1</v>
      </c>
      <c r="G13" s="126" cm="1">
        <f t="array" aca="1" ref="G13" ca="1">EXP(-Cubic_SPline(ZCTime,ZCRate,F13)*F13)</f>
        <v>0.99084219031433896</v>
      </c>
      <c r="H13" s="127">
        <f t="shared" ca="1" si="1"/>
        <v>0.24771054757858474</v>
      </c>
      <c r="I13" s="126">
        <f t="shared" ca="1" si="2"/>
        <v>2.5159975110545796E-3</v>
      </c>
      <c r="J13" s="127">
        <f ca="1">(SwapRateSA*SUM(H14:$H$49)-SUM(I14:$I$49))*IF(PayRec="PAY",-1,1)</f>
        <v>8.5494397459369986E-3</v>
      </c>
      <c r="K13" s="127" cm="1">
        <f t="array" aca="1" ref="K13" ca="1">PriceSwaption($F$9:$F$49,$G$9:$G$49,E13,SwapRateSA,MeanRvs,IRVol,IF(PayRec="PAY",1,-1))</f>
        <v>2.5371168060990285E-2</v>
      </c>
      <c r="L13" s="126" cm="1">
        <f t="array" aca="1" ref="L13" ca="1">-PriceSwaption($F$9:$F$49,$G$9:$G$49,E13,SwapRateSA,MeanRvs,IRVol,IF(PayRec="PAY",-1,1))</f>
        <v>-1.6821728315053193E-2</v>
      </c>
      <c r="M13" s="127" cm="1">
        <f t="array" aca="1" ref="M13" ca="1">Cubic_SPline(CreditCurveTenor,CreditCurveVal,F13)</f>
        <v>4.999999888241291E-3</v>
      </c>
      <c r="N13" s="127">
        <f t="shared" ca="1" si="0"/>
        <v>0.99170129282359476</v>
      </c>
      <c r="O13" s="128">
        <f ca="1">EXP(-M13*F13)</f>
        <v>0.99501247930388359</v>
      </c>
      <c r="P13" s="93"/>
      <c r="Q13" s="93"/>
      <c r="R13" s="93"/>
      <c r="W13" s="10">
        <v>7</v>
      </c>
      <c r="X13" s="13">
        <v>3.5000000000000001E-3</v>
      </c>
      <c r="Y13" s="13">
        <v>1.95E-2</v>
      </c>
      <c r="Z13" s="13">
        <v>1.2E-2</v>
      </c>
      <c r="AA13" s="13">
        <v>0.1225</v>
      </c>
      <c r="AB13" s="22">
        <v>0.01</v>
      </c>
      <c r="AC13" s="22">
        <v>1.4999999999999999E-2</v>
      </c>
    </row>
    <row r="14" spans="2:29" ht="14.4" customHeight="1" thickBot="1" x14ac:dyDescent="0.35">
      <c r="B14" s="93"/>
      <c r="C14" s="93"/>
      <c r="D14" s="93"/>
      <c r="E14" s="101">
        <f t="shared" si="4"/>
        <v>6</v>
      </c>
      <c r="F14" s="125">
        <f t="shared" si="5"/>
        <v>1.25</v>
      </c>
      <c r="G14" s="126" cm="1">
        <f t="array" aca="1" ref="G14" ca="1">EXP(-Cubic_SPline(ZCTime,ZCRate,F14)*F14)</f>
        <v>0.98817862061514239</v>
      </c>
      <c r="H14" s="127">
        <f t="shared" ca="1" si="1"/>
        <v>0.2470446551537856</v>
      </c>
      <c r="I14" s="126">
        <f t="shared" ca="1" si="2"/>
        <v>2.6635696991965663E-3</v>
      </c>
      <c r="J14" s="127">
        <f ca="1">(SwapRateSA*SUM(H15:$H$49)-SUM(I15:$I$49))*IF(PayRec="PAY",-1,1)</f>
        <v>1.0284586771445531E-2</v>
      </c>
      <c r="K14" s="127" cm="1">
        <f t="array" aca="1" ref="K14" ca="1">PriceSwaption($F$9:$F$49,$G$9:$G$49,E14,SwapRateSA,MeanRvs,IRVol,IF(PayRec="PAY",1,-1))</f>
        <v>2.8065758492413651E-2</v>
      </c>
      <c r="L14" s="126" cm="1">
        <f t="array" aca="1" ref="L14" ca="1">-PriceSwaption($F$9:$F$49,$G$9:$G$49,E14,SwapRateSA,MeanRvs,IRVol,IF(PayRec="PAY",-1,1))</f>
        <v>-1.7781171720968179E-2</v>
      </c>
      <c r="M14" s="127" cm="1">
        <f t="array" aca="1" ref="M14" ca="1">Cubic_SPline(CreditCurveTenor,CreditCurveVal,F14)</f>
        <v>5.9220663783889904E-3</v>
      </c>
      <c r="N14" s="127">
        <f t="shared" ca="1" si="0"/>
        <v>0.98773815833363066</v>
      </c>
      <c r="O14" s="128">
        <f t="shared" ca="1" si="3"/>
        <v>0.99262474866120354</v>
      </c>
      <c r="P14" s="93"/>
      <c r="Q14" s="93"/>
      <c r="R14" s="93"/>
      <c r="W14" s="10">
        <v>10</v>
      </c>
      <c r="X14" s="13">
        <v>4.4999999999999997E-3</v>
      </c>
      <c r="Y14" s="13">
        <v>2.07E-2</v>
      </c>
      <c r="Z14" s="13">
        <v>1.35E-2</v>
      </c>
      <c r="AA14" s="13">
        <v>0.12</v>
      </c>
      <c r="AB14" s="22">
        <v>0.01</v>
      </c>
      <c r="AC14" s="22">
        <v>1.4999999999999999E-2</v>
      </c>
    </row>
    <row r="15" spans="2:29" ht="14.4" customHeight="1" thickBot="1" x14ac:dyDescent="0.35">
      <c r="B15" s="151" t="s">
        <v>25</v>
      </c>
      <c r="C15" s="152"/>
      <c r="D15" s="93"/>
      <c r="E15" s="101">
        <f t="shared" si="4"/>
        <v>7</v>
      </c>
      <c r="F15" s="125">
        <f t="shared" si="5"/>
        <v>1.5</v>
      </c>
      <c r="G15" s="126" cm="1">
        <f t="array" aca="1" ref="G15" ca="1">EXP(-Cubic_SPline(ZCTime,ZCRate,F15)*F15)</f>
        <v>0.98535309637255941</v>
      </c>
      <c r="H15" s="127">
        <f t="shared" ca="1" si="1"/>
        <v>0.24633827409313985</v>
      </c>
      <c r="I15" s="126">
        <f t="shared" ca="1" si="2"/>
        <v>2.8255242425829774E-3</v>
      </c>
      <c r="J15" s="127">
        <f ca="1">(SwapRateSA*SUM(H16:$H$49)-SUM(I16:$I$49))*IF(PayRec="PAY",-1,1)</f>
        <v>1.1845201891051788E-2</v>
      </c>
      <c r="K15" s="127" cm="1">
        <f t="array" aca="1" ref="K15" ca="1">PriceSwaption($F$9:$F$49,$G$9:$G$49,E15,SwapRateSA,MeanRvs,IRVol,IF(PayRec="PAY",1,-1))</f>
        <v>3.0306089157863803E-2</v>
      </c>
      <c r="L15" s="126" cm="1">
        <f t="array" aca="1" ref="L15" ca="1">-PriceSwaption($F$9:$F$49,$G$9:$G$49,E15,SwapRateSA,MeanRvs,IRVol,IF(PayRec="PAY",-1,1))</f>
        <v>-1.8460887266812054E-2</v>
      </c>
      <c r="M15" s="127" cm="1">
        <f t="array" aca="1" ref="M15" ca="1">Cubic_SPline(CreditCurveTenor,CreditCurveVal,F15)</f>
        <v>6.8396501264942344E-3</v>
      </c>
      <c r="N15" s="127">
        <f t="shared" ca="1" si="0"/>
        <v>0.98304623503620614</v>
      </c>
      <c r="O15" s="128">
        <f t="shared" ca="1" si="3"/>
        <v>0.98979297370654784</v>
      </c>
      <c r="P15" s="93"/>
      <c r="Q15" s="130"/>
      <c r="R15" s="93"/>
      <c r="W15" s="10">
        <v>20</v>
      </c>
      <c r="X15" s="13">
        <v>4.8999999999999998E-3</v>
      </c>
      <c r="Y15" s="13">
        <v>2.1100000000000001E-2</v>
      </c>
      <c r="Z15" s="13">
        <v>1.4200000000000001E-2</v>
      </c>
      <c r="AA15" s="13">
        <v>0.115</v>
      </c>
      <c r="AB15" s="22">
        <v>0.01</v>
      </c>
      <c r="AC15" s="22">
        <v>1.4999999999999999E-2</v>
      </c>
    </row>
    <row r="16" spans="2:29" ht="14.4" customHeight="1" x14ac:dyDescent="0.3">
      <c r="B16" s="95" t="s">
        <v>2</v>
      </c>
      <c r="C16" s="133">
        <f ca="1">SUM(I10:I49)/SUM(H10:H49)</f>
        <v>1.7805350704579715E-2</v>
      </c>
      <c r="D16" s="93"/>
      <c r="E16" s="101">
        <f t="shared" si="4"/>
        <v>8</v>
      </c>
      <c r="F16" s="125">
        <f t="shared" si="5"/>
        <v>1.75</v>
      </c>
      <c r="G16" s="126" cm="1">
        <f t="array" aca="1" ref="G16" ca="1">EXP(-Cubic_SPline(ZCTime,ZCRate,F16)*F16)</f>
        <v>0.98236547084225223</v>
      </c>
      <c r="H16" s="127">
        <f t="shared" ca="1" si="1"/>
        <v>0.24559136771056306</v>
      </c>
      <c r="I16" s="126">
        <f t="shared" ca="1" si="2"/>
        <v>2.9876255303071808E-3</v>
      </c>
      <c r="J16" s="127">
        <f ca="1">(SwapRateSA*SUM(H17:$H$49)-SUM(I17:$I$49))*IF(PayRec="PAY",-1,1)</f>
        <v>1.3230416792848587E-2</v>
      </c>
      <c r="K16" s="127" cm="1">
        <f t="array" aca="1" ref="K16" ca="1">PriceSwaption($F$9:$F$49,$G$9:$G$49,E16,SwapRateSA,MeanRvs,IRVol,IF(PayRec="PAY",1,-1))</f>
        <v>3.2164166088938323E-2</v>
      </c>
      <c r="L16" s="126" cm="1">
        <f t="array" aca="1" ref="L16" ca="1">-PriceSwaption($F$9:$F$49,$G$9:$G$49,E16,SwapRateSA,MeanRvs,IRVol,IF(PayRec="PAY",-1,1))</f>
        <v>-1.8933749296089729E-2</v>
      </c>
      <c r="M16" s="127" cm="1">
        <f t="array" aca="1" ref="M16" ca="1">Cubic_SPline(CreditCurveTenor,CreditCurveVal,F16)</f>
        <v>7.748268856175855E-3</v>
      </c>
      <c r="N16" s="127">
        <f t="shared" ca="1" si="0"/>
        <v>0.9776543297405329</v>
      </c>
      <c r="O16" s="128">
        <f t="shared" ca="1" si="3"/>
        <v>0.98653204502083036</v>
      </c>
      <c r="P16" s="93"/>
      <c r="Q16" s="130"/>
      <c r="R16" s="93"/>
    </row>
    <row r="17" spans="2:26" ht="14.4" customHeight="1" x14ac:dyDescent="0.3">
      <c r="B17" s="101" t="s">
        <v>14</v>
      </c>
      <c r="C17" s="113">
        <f ca="1">-C11*(SUMPRODUCT(K9:K48,N9:N48)-SUMPRODUCT(K9:K48,N10:N49))*10000</f>
        <v>-48.09200724311502</v>
      </c>
      <c r="D17" s="93"/>
      <c r="E17" s="101">
        <f t="shared" si="4"/>
        <v>9</v>
      </c>
      <c r="F17" s="125">
        <f t="shared" si="5"/>
        <v>2</v>
      </c>
      <c r="G17" s="126" cm="1">
        <f t="array" aca="1" ref="G17" ca="1">EXP(-Cubic_SPline(ZCTime,ZCRate,F17)*F17)</f>
        <v>0.97921896484669813</v>
      </c>
      <c r="H17" s="127">
        <f t="shared" ca="1" si="1"/>
        <v>0.24480474121167453</v>
      </c>
      <c r="I17" s="126">
        <f t="shared" ca="1" si="2"/>
        <v>3.1465059955541053E-3</v>
      </c>
      <c r="J17" s="127">
        <f ca="1">(SwapRateSA*SUM(H18:$H$49)-SUM(I18:$I$49))*IF(PayRec="PAY",-1,1)</f>
        <v>1.4442745068712209E-2</v>
      </c>
      <c r="K17" s="127" cm="1">
        <f t="array" aca="1" ref="K17" ca="1">PriceSwaption($F$9:$F$49,$G$9:$G$49,E17,SwapRateSA,MeanRvs,IRVol,IF(PayRec="PAY",1,-1))</f>
        <v>3.368962053311414E-2</v>
      </c>
      <c r="L17" s="126" cm="1">
        <f t="array" aca="1" ref="L17" ca="1">-PriceSwaption($F$9:$F$49,$G$9:$G$49,E17,SwapRateSA,MeanRvs,IRVol,IF(PayRec="PAY",-1,1))</f>
        <v>-1.9246875464401954E-2</v>
      </c>
      <c r="M17" s="127" cm="1">
        <f t="array" aca="1" ref="M17" ca="1">Cubic_SPline(CreditCurveTenor,CreditCurveVal,F17)</f>
        <v>8.6434402910526842E-3</v>
      </c>
      <c r="N17" s="127">
        <f t="shared" ca="1" si="0"/>
        <v>0.97159962517357901</v>
      </c>
      <c r="O17" s="128">
        <f t="shared" ca="1" si="3"/>
        <v>0.9828616802550928</v>
      </c>
      <c r="P17" s="93"/>
      <c r="Q17" s="130"/>
      <c r="R17" s="93"/>
      <c r="W17" s="4"/>
      <c r="X17" s="4" t="s">
        <v>19</v>
      </c>
      <c r="Y17" s="4" t="s">
        <v>20</v>
      </c>
      <c r="Z17" s="4" t="s">
        <v>21</v>
      </c>
    </row>
    <row r="18" spans="2:26" ht="14.4" customHeight="1" x14ac:dyDescent="0.3">
      <c r="B18" s="101" t="s">
        <v>15</v>
      </c>
      <c r="C18" s="113">
        <f ca="1">(SwapRateSA*SUM(H10:H49)-SUM(I10:I49)-SwapRateSA*SUMPRODUCT(H10:H49,O10:O49)+SUMPRODUCT(I10:I49,O10:O49))*10000*IF(PayRec="PAY",1,-1)</f>
        <v>-24.99781514896382</v>
      </c>
      <c r="D18" s="130"/>
      <c r="E18" s="101">
        <f t="shared" si="4"/>
        <v>10</v>
      </c>
      <c r="F18" s="125">
        <f t="shared" si="5"/>
        <v>2.25</v>
      </c>
      <c r="G18" s="126" cm="1">
        <f t="array" aca="1" ref="G18" ca="1">EXP(-Cubic_SPline(ZCTime,ZCRate,F18)*F18)</f>
        <v>0.97592006480340499</v>
      </c>
      <c r="H18" s="127">
        <f t="shared" ca="1" si="1"/>
        <v>0.24398001620085125</v>
      </c>
      <c r="I18" s="126">
        <f t="shared" ca="1" si="2"/>
        <v>3.2989000432931403E-3</v>
      </c>
      <c r="J18" s="127">
        <f ca="1">(SwapRateSA*SUM(H19:$H$49)-SUM(I19:$I$49))*IF(PayRec="PAY",-1,1)</f>
        <v>1.5487994778784264E-2</v>
      </c>
      <c r="K18" s="127" cm="1">
        <f t="array" aca="1" ref="K18" ca="1">PriceSwaption($F$9:$F$49,$G$9:$G$49,E18,SwapRateSA,MeanRvs,IRVol,IF(PayRec="PAY",1,-1))</f>
        <v>3.4920007693856697E-2</v>
      </c>
      <c r="L18" s="126" cm="1">
        <f t="array" aca="1" ref="L18" ca="1">-PriceSwaption($F$9:$F$49,$G$9:$G$49,E18,SwapRateSA,MeanRvs,IRVol,IF(PayRec="PAY",-1,1))</f>
        <v>-1.9432012915072624E-2</v>
      </c>
      <c r="M18" s="127" cm="1">
        <f t="array" aca="1" ref="M18" ca="1">Cubic_SPline(CreditCurveTenor,CreditCurveVal,F18)</f>
        <v>9.5206815726669447E-3</v>
      </c>
      <c r="N18" s="127">
        <f t="shared" ca="1" si="0"/>
        <v>0.96492726272599116</v>
      </c>
      <c r="O18" s="128">
        <f t="shared" ca="1" si="3"/>
        <v>0.9788062779211002</v>
      </c>
      <c r="P18" s="93"/>
      <c r="Q18" s="93"/>
      <c r="R18" s="93"/>
      <c r="W18" s="7">
        <v>0.25</v>
      </c>
      <c r="X18" s="11">
        <v>0.04</v>
      </c>
      <c r="Y18" s="11">
        <v>5.5E-2</v>
      </c>
      <c r="Z18" s="11">
        <v>8.0000000000000002E-3</v>
      </c>
    </row>
    <row r="19" spans="2:26" ht="14.4" customHeight="1" x14ac:dyDescent="0.3">
      <c r="B19" s="101" t="s">
        <v>31</v>
      </c>
      <c r="C19" s="134">
        <f ca="1">C17/(SUM(G10:G49)*0.25)</f>
        <v>-5.1981799772247799</v>
      </c>
      <c r="D19" s="126"/>
      <c r="E19" s="101">
        <f t="shared" si="4"/>
        <v>11</v>
      </c>
      <c r="F19" s="125">
        <f t="shared" si="5"/>
        <v>2.5</v>
      </c>
      <c r="G19" s="126" cm="1">
        <f t="array" aca="1" ref="G19" ca="1">EXP(-Cubic_SPline(ZCTime,ZCRate,F19)*F19)</f>
        <v>0.97247828593686803</v>
      </c>
      <c r="H19" s="127">
        <f t="shared" ca="1" si="1"/>
        <v>0.24311957148421701</v>
      </c>
      <c r="I19" s="126">
        <f t="shared" ca="1" si="2"/>
        <v>3.4417788665369597E-3</v>
      </c>
      <c r="J19" s="127">
        <f ca="1">(SwapRateSA*SUM(H20:$H$49)-SUM(I20:$I$49))*IF(PayRec="PAY",-1,1)</f>
        <v>1.6375045145670938E-2</v>
      </c>
      <c r="K19" s="127" cm="1">
        <f t="array" aca="1" ref="K19" ca="1">PriceSwaption($F$9:$F$49,$G$9:$G$49,E19,SwapRateSA,MeanRvs,IRVol,IF(PayRec="PAY",1,-1))</f>
        <v>3.5885995140046804E-2</v>
      </c>
      <c r="L19" s="126" cm="1">
        <f t="array" aca="1" ref="L19" ca="1">-PriceSwaption($F$9:$F$49,$G$9:$G$49,E19,SwapRateSA,MeanRvs,IRVol,IF(PayRec="PAY",-1,1))</f>
        <v>-1.951094999437596E-2</v>
      </c>
      <c r="M19" s="127" cm="1">
        <f t="array" aca="1" ref="M19" ca="1">Cubic_SPline(CreditCurveTenor,CreditCurveVal,F19)</f>
        <v>1.0375510308222147E-2</v>
      </c>
      <c r="N19" s="127">
        <f t="shared" ca="1" si="0"/>
        <v>0.95768985753534086</v>
      </c>
      <c r="O19" s="128">
        <f t="shared" ca="1" si="3"/>
        <v>0.97439474434997064</v>
      </c>
      <c r="P19" s="93"/>
      <c r="Q19" s="93"/>
      <c r="R19" s="93"/>
      <c r="W19" s="7">
        <v>0.5</v>
      </c>
      <c r="X19" s="11">
        <v>0.04</v>
      </c>
      <c r="Y19" s="11">
        <v>5.5999999999999994E-2</v>
      </c>
      <c r="Z19" s="11">
        <v>8.5000000000000006E-3</v>
      </c>
    </row>
    <row r="20" spans="2:26" ht="14.4" customHeight="1" x14ac:dyDescent="0.3">
      <c r="B20" s="101" t="s">
        <v>31</v>
      </c>
      <c r="C20" s="134">
        <f ca="1">-AVERAGE(K10:K49)*C41*10000</f>
        <v>-5.288217383383695</v>
      </c>
      <c r="D20" s="93"/>
      <c r="E20" s="101">
        <f t="shared" si="4"/>
        <v>12</v>
      </c>
      <c r="F20" s="125">
        <f t="shared" si="5"/>
        <v>2.75</v>
      </c>
      <c r="G20" s="126" cm="1">
        <f t="array" aca="1" ref="G20" ca="1">EXP(-Cubic_SPline(ZCTime,ZCRate,F20)*F20)</f>
        <v>0.96890616903045446</v>
      </c>
      <c r="H20" s="127">
        <f t="shared" ca="1" si="1"/>
        <v>0.24222654225761361</v>
      </c>
      <c r="I20" s="126">
        <f t="shared" ca="1" si="2"/>
        <v>3.5721169064135694E-3</v>
      </c>
      <c r="J20" s="127">
        <f ca="1">(SwapRateSA*SUM(H21:$H$49)-SUM(I21:$I$49))*IF(PayRec="PAY",-1,1)</f>
        <v>1.7115856774111871E-2</v>
      </c>
      <c r="K20" s="127" cm="1">
        <f t="array" aca="1" ref="K20" ca="1">PriceSwaption($F$9:$F$49,$G$9:$G$49,E20,SwapRateSA,MeanRvs,IRVol,IF(PayRec="PAY",1,-1))</f>
        <v>3.6614364919674583E-2</v>
      </c>
      <c r="L20" s="126" cm="1">
        <f t="array" aca="1" ref="L20" ca="1">-PriceSwaption($F$9:$F$49,$G$9:$G$49,E20,SwapRateSA,MeanRvs,IRVol,IF(PayRec="PAY",-1,1))</f>
        <v>-1.949850814556265E-2</v>
      </c>
      <c r="M20" s="127" cm="1">
        <f t="array" aca="1" ref="M20" ca="1">Cubic_SPline(CreditCurveTenor,CreditCurveVal,F20)</f>
        <v>1.1203443988506478E-2</v>
      </c>
      <c r="N20" s="127">
        <f t="shared" ca="1" si="0"/>
        <v>0.94994696878176932</v>
      </c>
      <c r="O20" s="128">
        <f t="shared" ca="1" si="3"/>
        <v>0.96966030391586611</v>
      </c>
      <c r="P20" s="93"/>
      <c r="Q20" s="93"/>
      <c r="R20" s="93"/>
      <c r="W20" s="7">
        <v>1</v>
      </c>
      <c r="X20" s="11">
        <v>0.04</v>
      </c>
      <c r="Y20" s="11">
        <v>5.45E-2</v>
      </c>
      <c r="Z20" s="11">
        <v>9.1999999999999998E-3</v>
      </c>
    </row>
    <row r="21" spans="2:26" ht="14.4" customHeight="1" thickBot="1" x14ac:dyDescent="0.35">
      <c r="B21" s="108" t="s">
        <v>32</v>
      </c>
      <c r="C21" s="135">
        <f ca="1">(SUM(H10:H49)*SwapRateSA-SUM(I10:I49))*IF(PayRec="PAY",-1,1)+C17/10000</f>
        <v>-4.8092007243115019E-3</v>
      </c>
      <c r="D21" s="93"/>
      <c r="E21" s="101">
        <f t="shared" si="4"/>
        <v>13</v>
      </c>
      <c r="F21" s="125">
        <f t="shared" si="5"/>
        <v>3</v>
      </c>
      <c r="G21" s="126" cm="1">
        <f t="array" aca="1" ref="G21" ca="1">EXP(-Cubic_SPline(ZCTime,ZCRate,F21)*F21)</f>
        <v>0.96521925004336784</v>
      </c>
      <c r="H21" s="127">
        <f t="shared" ca="1" si="1"/>
        <v>0.24130481251084196</v>
      </c>
      <c r="I21" s="126">
        <f t="shared" ca="1" si="2"/>
        <v>3.6869189870866181E-3</v>
      </c>
      <c r="J21" s="127">
        <f ca="1">(SwapRateSA*SUM(H22:$H$49)-SUM(I22:$I$49))*IF(PayRec="PAY",-1,1)</f>
        <v>1.7725454600483651E-2</v>
      </c>
      <c r="K21" s="127" cm="1">
        <f t="array" aca="1" ref="K21" ca="1">PriceSwaption($F$9:$F$49,$G$9:$G$49,E21,SwapRateSA,MeanRvs,IRVol,IF(PayRec="PAY",1,-1))</f>
        <v>3.7129808399172744E-2</v>
      </c>
      <c r="L21" s="126" cm="1">
        <f t="array" aca="1" ref="L21" ca="1">-PriceSwaption($F$9:$F$49,$G$9:$G$49,E21,SwapRateSA,MeanRvs,IRVol,IF(PayRec="PAY",-1,1))</f>
        <v>-1.9404353798688996E-2</v>
      </c>
      <c r="M21" s="127" cm="1">
        <f t="array" aca="1" ref="M21" ca="1">Cubic_SPline(CreditCurveTenor,CreditCurveVal,F21)</f>
        <v>1.2000000104308128E-2</v>
      </c>
      <c r="N21" s="127">
        <f t="shared" ca="1" si="0"/>
        <v>0.94176453309308028</v>
      </c>
      <c r="O21" s="128">
        <f t="shared" ca="1" si="3"/>
        <v>0.96464029318126354</v>
      </c>
      <c r="P21" s="93"/>
      <c r="Q21" s="93"/>
      <c r="R21" s="93"/>
      <c r="W21" s="7">
        <v>2</v>
      </c>
      <c r="X21" s="11">
        <v>0.04</v>
      </c>
      <c r="Y21" s="11">
        <v>5.0099999999999999E-2</v>
      </c>
      <c r="Z21" s="11">
        <v>1.0500000000000001E-2</v>
      </c>
    </row>
    <row r="22" spans="2:26" ht="14.4" customHeight="1" thickBot="1" x14ac:dyDescent="0.35">
      <c r="B22" s="93"/>
      <c r="C22" s="93"/>
      <c r="D22" s="93"/>
      <c r="E22" s="101">
        <f t="shared" si="4"/>
        <v>14</v>
      </c>
      <c r="F22" s="125">
        <f t="shared" si="5"/>
        <v>3.25</v>
      </c>
      <c r="G22" s="126" cm="1">
        <f t="array" aca="1" ref="G22" ca="1">EXP(-Cubic_SPline(ZCTime,ZCRate,F22)*F22)</f>
        <v>0.96143338064201411</v>
      </c>
      <c r="H22" s="127">
        <f t="shared" ca="1" si="1"/>
        <v>0.24035834516050353</v>
      </c>
      <c r="I22" s="126">
        <f t="shared" ca="1" si="2"/>
        <v>3.7858694013537253E-3</v>
      </c>
      <c r="J22" s="127">
        <f ca="1">(SwapRateSA*SUM(H23:$H$49)-SUM(I23:$I$49))*IF(PayRec="PAY",-1,1)</f>
        <v>1.8219249829485112E-2</v>
      </c>
      <c r="K22" s="127" cm="1">
        <f t="array" aca="1" ref="K22" ca="1">PriceSwaption($F$9:$F$49,$G$9:$G$49,E22,SwapRateSA,MeanRvs,IRVol,IF(PayRec="PAY",1,-1))</f>
        <v>3.7454416131989431E-2</v>
      </c>
      <c r="L22" s="126" cm="1">
        <f t="array" aca="1" ref="L22" ca="1">-PriceSwaption($F$9:$F$49,$G$9:$G$49,E22,SwapRateSA,MeanRvs,IRVol,IF(PayRec="PAY",-1,1))</f>
        <v>-1.9235166302504297E-2</v>
      </c>
      <c r="M22" s="127" cm="1">
        <f t="array" aca="1" ref="M22" ca="1">Cubic_SPline(CreditCurveTenor,CreditCurveVal,F22)</f>
        <v>1.2761272169200311E-2</v>
      </c>
      <c r="N22" s="127">
        <f t="shared" ca="1" si="0"/>
        <v>0.93321136761331636</v>
      </c>
      <c r="O22" s="128">
        <f t="shared" ca="1" si="3"/>
        <v>0.95937414966474854</v>
      </c>
      <c r="P22" s="93"/>
      <c r="Q22" s="93"/>
      <c r="R22" s="93"/>
      <c r="W22" s="7">
        <v>3</v>
      </c>
      <c r="X22" s="11">
        <v>0.04</v>
      </c>
      <c r="Y22" s="11">
        <v>4.7500000000000001E-2</v>
      </c>
      <c r="Z22" s="11">
        <v>1.18E-2</v>
      </c>
    </row>
    <row r="23" spans="2:26" ht="14.4" customHeight="1" thickBot="1" x14ac:dyDescent="0.35">
      <c r="B23" s="149" t="s">
        <v>26</v>
      </c>
      <c r="C23" s="150"/>
      <c r="D23" s="93"/>
      <c r="E23" s="101">
        <f t="shared" si="4"/>
        <v>15</v>
      </c>
      <c r="F23" s="125">
        <f t="shared" si="5"/>
        <v>3.5</v>
      </c>
      <c r="G23" s="126" cm="1">
        <f t="array" aca="1" ref="G23" ca="1">EXP(-Cubic_SPline(ZCTime,ZCRate,F23)*F23)</f>
        <v>0.95755534137830556</v>
      </c>
      <c r="H23" s="127">
        <f t="shared" ca="1" si="1"/>
        <v>0.23938883534457639</v>
      </c>
      <c r="I23" s="126">
        <f t="shared" ca="1" si="2"/>
        <v>3.8780392637085548E-3</v>
      </c>
      <c r="J23" s="127">
        <f ca="1">(SwapRateSA*SUM(H24:$H$49)-SUM(I24:$I$49))*IF(PayRec="PAY",-1,1)</f>
        <v>1.8603612733847627E-2</v>
      </c>
      <c r="K23" s="127" cm="1">
        <f t="array" aca="1" ref="K23" ca="1">PriceSwaption($F$9:$F$49,$G$9:$G$49,E23,SwapRateSA,MeanRvs,IRVol,IF(PayRec="PAY",1,-1))</f>
        <v>3.7602550919596189E-2</v>
      </c>
      <c r="L23" s="126" cm="1">
        <f t="array" aca="1" ref="L23" ca="1">-PriceSwaption($F$9:$F$49,$G$9:$G$49,E23,SwapRateSA,MeanRvs,IRVol,IF(PayRec="PAY",-1,1))</f>
        <v>-1.8998938185748687E-2</v>
      </c>
      <c r="M23" s="127" cm="1">
        <f t="array" aca="1" ref="M23" ca="1">Cubic_SPline(CreditCurveTenor,CreditCurveVal,F23)</f>
        <v>1.3485659213984036E-2</v>
      </c>
      <c r="N23" s="127">
        <f t="shared" ca="1" si="0"/>
        <v>0.92434828604295682</v>
      </c>
      <c r="O23" s="128">
        <f t="shared" ca="1" si="3"/>
        <v>0.9538967830559234</v>
      </c>
      <c r="P23" s="93"/>
      <c r="Q23" s="93"/>
      <c r="R23" s="93"/>
      <c r="W23" s="7">
        <v>5</v>
      </c>
      <c r="X23" s="11">
        <v>0.04</v>
      </c>
      <c r="Y23" s="11">
        <v>4.4500000000000005E-2</v>
      </c>
      <c r="Z23" s="11">
        <v>1.4E-2</v>
      </c>
    </row>
    <row r="24" spans="2:26" ht="14.4" customHeight="1" x14ac:dyDescent="0.3">
      <c r="B24" s="136">
        <f>3/12</f>
        <v>0.25</v>
      </c>
      <c r="C24" s="137" cm="1">
        <f t="array" aca="1" ref="C24:C32" ca="1">INDIRECT(C12)</f>
        <v>8.0000000000000002E-3</v>
      </c>
      <c r="D24" s="93"/>
      <c r="E24" s="101">
        <f t="shared" si="4"/>
        <v>16</v>
      </c>
      <c r="F24" s="125">
        <f t="shared" si="5"/>
        <v>3.75</v>
      </c>
      <c r="G24" s="126" cm="1">
        <f t="array" aca="1" ref="G24" ca="1">EXP(-Cubic_SPline(ZCTime,ZCRate,F24)*F24)</f>
        <v>0.95358797185910782</v>
      </c>
      <c r="H24" s="127">
        <f t="shared" ca="1" si="1"/>
        <v>0.23839699296477695</v>
      </c>
      <c r="I24" s="126">
        <f t="shared" ca="1" si="2"/>
        <v>3.9673695191977387E-3</v>
      </c>
      <c r="J24" s="127">
        <f ca="1">(SwapRateSA*SUM(H25:$H$49)-SUM(I25:$I$49))*IF(PayRec="PAY",-1,1)</f>
        <v>1.8880985281304968E-2</v>
      </c>
      <c r="K24" s="127" cm="1">
        <f t="array" aca="1" ref="K24" ca="1">PriceSwaption($F$9:$F$49,$G$9:$G$49,E24,SwapRateSA,MeanRvs,IRVol,IF(PayRec="PAY",1,-1))</f>
        <v>3.7584432717914298E-2</v>
      </c>
      <c r="L24" s="126" cm="1">
        <f t="array" aca="1" ref="L24" ca="1">-PriceSwaption($F$9:$F$49,$G$9:$G$49,E24,SwapRateSA,MeanRvs,IRVol,IF(PayRec="PAY",-1,1))</f>
        <v>-1.8703447436609292E-2</v>
      </c>
      <c r="M24" s="127" cm="1">
        <f t="array" aca="1" ref="M24" ca="1">Cubic_SPline(CreditCurveTenor,CreditCurveVal,F24)</f>
        <v>1.4172137223567915E-2</v>
      </c>
      <c r="N24" s="127">
        <f t="shared" ca="1" si="0"/>
        <v>0.91523368062888688</v>
      </c>
      <c r="O24" s="128">
        <f t="shared" ca="1" si="3"/>
        <v>0.94824201939540143</v>
      </c>
      <c r="P24" s="93"/>
      <c r="Q24" s="93"/>
      <c r="R24" s="93"/>
      <c r="W24" s="7">
        <v>7</v>
      </c>
      <c r="X24" s="11">
        <v>0.04</v>
      </c>
      <c r="Y24" s="11">
        <v>4.2999999999999997E-2</v>
      </c>
      <c r="Z24" s="11">
        <v>1.6E-2</v>
      </c>
    </row>
    <row r="25" spans="2:26" ht="14.4" customHeight="1" x14ac:dyDescent="0.3">
      <c r="B25" s="84">
        <f>6/12</f>
        <v>0.5</v>
      </c>
      <c r="C25" s="138">
        <f ca="1"/>
        <v>8.5000000000000006E-3</v>
      </c>
      <c r="D25" s="93"/>
      <c r="E25" s="101">
        <f t="shared" si="4"/>
        <v>17</v>
      </c>
      <c r="F25" s="125">
        <f t="shared" si="5"/>
        <v>4</v>
      </c>
      <c r="G25" s="126" cm="1">
        <f t="array" aca="1" ref="G25" ca="1">EXP(-Cubic_SPline(ZCTime,ZCRate,F25)*F25)</f>
        <v>0.94953240797682581</v>
      </c>
      <c r="H25" s="127">
        <f t="shared" ca="1" si="1"/>
        <v>0.23738310199420645</v>
      </c>
      <c r="I25" s="126">
        <f t="shared" ca="1" si="2"/>
        <v>4.0555638822820095E-3</v>
      </c>
      <c r="J25" s="127">
        <f ca="1">(SwapRateSA*SUM(H26:$H$49)-SUM(I26:$I$49))*IF(PayRec="PAY",-1,1)</f>
        <v>1.9052110781370798E-2</v>
      </c>
      <c r="K25" s="127" cm="1">
        <f t="array" aca="1" ref="K25" ca="1">PriceSwaption($F$9:$F$49,$G$9:$G$49,E25,SwapRateSA,MeanRvs,IRVol,IF(PayRec="PAY",1,-1))</f>
        <v>3.7407862924174744E-2</v>
      </c>
      <c r="L25" s="126" cm="1">
        <f t="array" aca="1" ref="L25" ca="1">-PriceSwaption($F$9:$F$49,$G$9:$G$49,E25,SwapRateSA,MeanRvs,IRVol,IF(PayRec="PAY",-1,1))</f>
        <v>-1.8355752142803959E-2</v>
      </c>
      <c r="M25" s="127" cm="1">
        <f t="array" aca="1" ref="M25" ca="1">Cubic_SPline(CreditCurveTenor,CreditCurveVal,F25)</f>
        <v>1.4819679388892837E-2</v>
      </c>
      <c r="N25" s="127">
        <f t="shared" ca="1" si="0"/>
        <v>0.90592581101166092</v>
      </c>
      <c r="O25" s="128">
        <f t="shared" ca="1" si="3"/>
        <v>0.94244405684374732</v>
      </c>
      <c r="P25" s="93"/>
      <c r="Q25" s="93"/>
      <c r="R25" s="93"/>
      <c r="W25" s="7">
        <v>10</v>
      </c>
      <c r="X25" s="11">
        <v>0.04</v>
      </c>
      <c r="Y25" s="11">
        <v>4.2500000000000003E-2</v>
      </c>
      <c r="Z25" s="11">
        <v>1.7999999999999999E-2</v>
      </c>
    </row>
    <row r="26" spans="2:26" ht="14.4" customHeight="1" x14ac:dyDescent="0.3">
      <c r="B26" s="84">
        <v>1</v>
      </c>
      <c r="C26" s="138">
        <f ca="1"/>
        <v>9.1999999999999998E-3</v>
      </c>
      <c r="D26" s="93"/>
      <c r="E26" s="101">
        <f t="shared" si="4"/>
        <v>18</v>
      </c>
      <c r="F26" s="125">
        <f t="shared" si="5"/>
        <v>4.25</v>
      </c>
      <c r="G26" s="126" cm="1">
        <f t="array" aca="1" ref="G26" ca="1">EXP(-Cubic_SPline(ZCTime,ZCRate,F26)*F26)</f>
        <v>0.94538813605327321</v>
      </c>
      <c r="H26" s="127">
        <f t="shared" ca="1" si="1"/>
        <v>0.2363470340133183</v>
      </c>
      <c r="I26" s="126">
        <f t="shared" ca="1" si="2"/>
        <v>4.1442719235526004E-3</v>
      </c>
      <c r="J26" s="127">
        <f ca="1">(SwapRateSA*SUM(H27:$H$49)-SUM(I27:$I$49))*IF(PayRec="PAY",-1,1)</f>
        <v>1.9116080686412573E-2</v>
      </c>
      <c r="K26" s="127" cm="1">
        <f t="array" aca="1" ref="K26" ca="1">PriceSwaption($F$9:$F$49,$G$9:$G$49,E26,SwapRateSA,MeanRvs,IRVol,IF(PayRec="PAY",1,-1))</f>
        <v>3.7078514573501219E-2</v>
      </c>
      <c r="L26" s="126" cm="1">
        <f t="array" aca="1" ref="L26" ca="1">-PriceSwaption($F$9:$F$49,$G$9:$G$49,E26,SwapRateSA,MeanRvs,IRVol,IF(PayRec="PAY",-1,1))</f>
        <v>-1.7962433887088562E-2</v>
      </c>
      <c r="M26" s="127" cm="1">
        <f t="array" aca="1" ref="M26" ca="1">Cubic_SPline(CreditCurveTenor,CreditCurveVal,F26)</f>
        <v>1.5427261694867411E-2</v>
      </c>
      <c r="N26" s="127">
        <f t="shared" ca="1" si="0"/>
        <v>0.89648256228680567</v>
      </c>
      <c r="O26" s="128">
        <f t="shared" ca="1" si="3"/>
        <v>0.93653736231426488</v>
      </c>
      <c r="P26" s="93"/>
      <c r="Q26" s="93"/>
      <c r="R26" s="93"/>
      <c r="W26" s="7">
        <v>20</v>
      </c>
      <c r="X26" s="11">
        <v>0.04</v>
      </c>
      <c r="Y26" s="11">
        <v>4.4999999999999998E-2</v>
      </c>
      <c r="Z26" s="11">
        <v>0.02</v>
      </c>
    </row>
    <row r="27" spans="2:26" ht="14.4" customHeight="1" x14ac:dyDescent="0.3">
      <c r="B27" s="84">
        <v>2</v>
      </c>
      <c r="C27" s="138">
        <f ca="1"/>
        <v>1.0500000000000001E-2</v>
      </c>
      <c r="D27" s="93"/>
      <c r="E27" s="101">
        <f t="shared" si="4"/>
        <v>19</v>
      </c>
      <c r="F27" s="125">
        <f t="shared" si="5"/>
        <v>4.5</v>
      </c>
      <c r="G27" s="126" cm="1">
        <f t="array" aca="1" ref="G27" ca="1">EXP(-Cubic_SPline(ZCTime,ZCRate,F27)*F27)</f>
        <v>0.94115301925324257</v>
      </c>
      <c r="H27" s="127">
        <f t="shared" ca="1" si="1"/>
        <v>0.23528825481331064</v>
      </c>
      <c r="I27" s="126">
        <f t="shared" ca="1" si="2"/>
        <v>4.2351168000306361E-3</v>
      </c>
      <c r="J27" s="127">
        <f ca="1">(SwapRateSA*SUM(H28:$H$49)-SUM(I28:$I$49))*IF(PayRec="PAY",-1,1)</f>
        <v>1.9070353780001451E-2</v>
      </c>
      <c r="K27" s="127" cm="1">
        <f t="array" aca="1" ref="K27" ca="1">PriceSwaption($F$9:$F$49,$G$9:$G$49,E27,SwapRateSA,MeanRvs,IRVol,IF(PayRec="PAY",1,-1))</f>
        <v>3.6600141494169292E-2</v>
      </c>
      <c r="L27" s="126" cm="1">
        <f t="array" aca="1" ref="L27" ca="1">-PriceSwaption($F$9:$F$49,$G$9:$G$49,E27,SwapRateSA,MeanRvs,IRVol,IF(PayRec="PAY",-1,1))</f>
        <v>-1.7529787714167695E-2</v>
      </c>
      <c r="M27" s="127" cm="1">
        <f t="array" aca="1" ref="M27" ca="1">Cubic_SPline(CreditCurveTenor,CreditCurveVal,F27)</f>
        <v>1.5993859660738963E-2</v>
      </c>
      <c r="N27" s="127">
        <f t="shared" ca="1" si="0"/>
        <v>0.88696128260052121</v>
      </c>
      <c r="O27" s="128">
        <f t="shared" ca="1" si="3"/>
        <v>0.93055660815570895</v>
      </c>
      <c r="P27" s="93"/>
      <c r="Q27" s="93"/>
      <c r="R27" s="93"/>
    </row>
    <row r="28" spans="2:26" ht="14.4" customHeight="1" x14ac:dyDescent="0.3">
      <c r="B28" s="84">
        <v>3</v>
      </c>
      <c r="C28" s="138">
        <f ca="1"/>
        <v>1.18E-2</v>
      </c>
      <c r="D28" s="93"/>
      <c r="E28" s="101">
        <f t="shared" si="4"/>
        <v>20</v>
      </c>
      <c r="F28" s="125">
        <f t="shared" si="5"/>
        <v>4.75</v>
      </c>
      <c r="G28" s="126" cm="1">
        <f t="array" aca="1" ref="G28" ca="1">EXP(-Cubic_SPline(ZCTime,ZCRate,F28)*F28)</f>
        <v>0.93682333347315438</v>
      </c>
      <c r="H28" s="127">
        <f t="shared" ca="1" si="1"/>
        <v>0.2342058333682886</v>
      </c>
      <c r="I28" s="126">
        <f t="shared" ca="1" si="2"/>
        <v>4.3296857800881883E-3</v>
      </c>
      <c r="J28" s="127">
        <f ca="1">(SwapRateSA*SUM(H29:$H$49)-SUM(I29:$I$49))*IF(PayRec="PAY",-1,1)</f>
        <v>1.891078500009398E-2</v>
      </c>
      <c r="K28" s="127" cm="1">
        <f t="array" aca="1" ref="K28" ca="1">PriceSwaption($F$9:$F$49,$G$9:$G$49,E28,SwapRateSA,MeanRvs,IRVol,IF(PayRec="PAY",1,-1))</f>
        <v>3.597475112265875E-2</v>
      </c>
      <c r="L28" s="126" cm="1">
        <f t="array" aca="1" ref="L28" ca="1">-PriceSwaption($F$9:$F$49,$G$9:$G$49,E28,SwapRateSA,MeanRvs,IRVol,IF(PayRec="PAY",-1,1))</f>
        <v>-1.7063966122564736E-2</v>
      </c>
      <c r="M28" s="127" cm="1">
        <f t="array" aca="1" ref="M28" ca="1">Cubic_SPline(CreditCurveTenor,CreditCurveVal,F28)</f>
        <v>1.6518447641601597E-2</v>
      </c>
      <c r="N28" s="127">
        <f t="shared" ca="1" si="0"/>
        <v>0.87741864180753759</v>
      </c>
      <c r="O28" s="128">
        <f t="shared" ca="1" si="3"/>
        <v>0.92453661264207954</v>
      </c>
      <c r="P28" s="93"/>
      <c r="Q28" s="93"/>
      <c r="R28" s="93"/>
    </row>
    <row r="29" spans="2:26" ht="14.4" customHeight="1" x14ac:dyDescent="0.3">
      <c r="B29" s="84">
        <v>5</v>
      </c>
      <c r="C29" s="138">
        <f ca="1"/>
        <v>1.4E-2</v>
      </c>
      <c r="D29" s="93"/>
      <c r="E29" s="101">
        <f t="shared" si="4"/>
        <v>21</v>
      </c>
      <c r="F29" s="125">
        <f t="shared" si="5"/>
        <v>5</v>
      </c>
      <c r="G29" s="126" cm="1">
        <f t="array" aca="1" ref="G29" ca="1">EXP(-Cubic_SPline(ZCTime,ZCRate,F29)*F29)</f>
        <v>0.93239381789135445</v>
      </c>
      <c r="H29" s="127">
        <f t="shared" ca="1" si="1"/>
        <v>0.23309845447283861</v>
      </c>
      <c r="I29" s="126">
        <f t="shared" ca="1" si="2"/>
        <v>4.4295155817999365E-3</v>
      </c>
      <c r="J29" s="127">
        <f ca="1">(SwapRateSA*SUM(H30:$H$49)-SUM(I30:$I$49))*IF(PayRec="PAY",-1,1)</f>
        <v>1.8631669148878441E-2</v>
      </c>
      <c r="K29" s="127" cm="1">
        <f t="array" aca="1" ref="K29" ca="1">PriceSwaption($F$9:$F$49,$G$9:$G$49,E29,SwapRateSA,MeanRvs,IRVol,IF(PayRec="PAY",1,-1))</f>
        <v>3.5202760095650779E-2</v>
      </c>
      <c r="L29" s="126" cm="1">
        <f t="array" aca="1" ref="L29" ca="1">-PriceSwaption($F$9:$F$49,$G$9:$G$49,E29,SwapRateSA,MeanRvs,IRVol,IF(PayRec="PAY",-1,1))</f>
        <v>-1.6571090946772341E-2</v>
      </c>
      <c r="M29" s="127" cm="1">
        <f t="array" aca="1" ref="M29" ca="1">Cubic_SPline(CreditCurveTenor,CreditCurveVal,F29)</f>
        <v>1.7000000923871994E-2</v>
      </c>
      <c r="N29" s="127">
        <f t="shared" ca="1" si="0"/>
        <v>0.86791050509596124</v>
      </c>
      <c r="O29" s="128">
        <f t="shared" ca="1" si="3"/>
        <v>0.91851228015851849</v>
      </c>
      <c r="P29" s="93"/>
      <c r="Q29" s="93"/>
      <c r="R29" s="93"/>
    </row>
    <row r="30" spans="2:26" ht="14.4" customHeight="1" x14ac:dyDescent="0.3">
      <c r="B30" s="84">
        <v>7</v>
      </c>
      <c r="C30" s="138">
        <f ca="1"/>
        <v>1.6E-2</v>
      </c>
      <c r="D30" s="93"/>
      <c r="E30" s="101">
        <f t="shared" si="4"/>
        <v>22</v>
      </c>
      <c r="F30" s="125">
        <f t="shared" si="5"/>
        <v>5.25</v>
      </c>
      <c r="G30" s="126" cm="1">
        <f t="array" aca="1" ref="G30" ca="1">EXP(-Cubic_SPline(ZCTime,ZCRate,F30)*F30)</f>
        <v>0.92786042510633182</v>
      </c>
      <c r="H30" s="127">
        <f t="shared" ca="1" si="1"/>
        <v>0.23196510627658296</v>
      </c>
      <c r="I30" s="126">
        <f t="shared" ca="1" si="2"/>
        <v>4.5333927850226274E-3</v>
      </c>
      <c r="J30" s="127">
        <f ca="1">(SwapRateSA*SUM(H31:$H$49)-SUM(I31:$I$49))*IF(PayRec="PAY",-1,1)</f>
        <v>1.8228496432335498E-2</v>
      </c>
      <c r="K30" s="127" cm="1">
        <f t="array" aca="1" ref="K30" ca="1">PriceSwaption($F$9:$F$49,$G$9:$G$49,E30,SwapRateSA,MeanRvs,IRVol,IF(PayRec="PAY",1,-1))</f>
        <v>3.4284848144556894E-2</v>
      </c>
      <c r="L30" s="126" cm="1">
        <f t="array" aca="1" ref="L30" ca="1">-PriceSwaption($F$9:$F$49,$G$9:$G$49,E30,SwapRateSA,MeanRvs,IRVol,IF(PayRec="PAY",-1,1))</f>
        <v>-1.6056351712221442E-2</v>
      </c>
      <c r="M30" s="127" cm="1">
        <f t="array" aca="1" ref="M30" ca="1">Cubic_SPline(CreditCurveTenor,CreditCurveVal,F30)</f>
        <v>1.7438118747918452E-2</v>
      </c>
      <c r="N30" s="127">
        <f t="shared" ca="1" si="0"/>
        <v>0.85848717376268979</v>
      </c>
      <c r="O30" s="128">
        <f t="shared" ca="1" si="3"/>
        <v>0.91251557659820992</v>
      </c>
      <c r="P30" s="93"/>
      <c r="Q30" s="93"/>
      <c r="R30" s="93"/>
    </row>
    <row r="31" spans="2:26" ht="14.4" customHeight="1" x14ac:dyDescent="0.3">
      <c r="B31" s="84">
        <v>10</v>
      </c>
      <c r="C31" s="138">
        <f ca="1"/>
        <v>1.7999999999999999E-2</v>
      </c>
      <c r="D31" s="93"/>
      <c r="E31" s="101">
        <f t="shared" si="4"/>
        <v>23</v>
      </c>
      <c r="F31" s="125">
        <f t="shared" si="5"/>
        <v>5.5</v>
      </c>
      <c r="G31" s="126" cm="1">
        <f t="array" aca="1" ref="G31" ca="1">EXP(-Cubic_SPline(ZCTime,ZCRate,F31)*F31)</f>
        <v>0.9232294258980055</v>
      </c>
      <c r="H31" s="127">
        <f t="shared" ca="1" si="1"/>
        <v>0.23080735647450137</v>
      </c>
      <c r="I31" s="126">
        <f t="shared" ca="1" si="2"/>
        <v>4.6309992083263252E-3</v>
      </c>
      <c r="J31" s="127">
        <f ca="1">(SwapRateSA*SUM(H32:$H$49)-SUM(I32:$I$49))*IF(PayRec="PAY",-1,1)</f>
        <v>1.770710315123461E-2</v>
      </c>
      <c r="K31" s="127" cm="1">
        <f t="array" aca="1" ref="K31" ca="1">PriceSwaption($F$9:$F$49,$G$9:$G$49,E31,SwapRateSA,MeanRvs,IRVol,IF(PayRec="PAY",1,-1))</f>
        <v>3.3227846755956629E-2</v>
      </c>
      <c r="L31" s="126" cm="1">
        <f t="array" aca="1" ref="L31" ca="1">-PriceSwaption($F$9:$F$49,$G$9:$G$49,E31,SwapRateSA,MeanRvs,IRVol,IF(PayRec="PAY",-1,1))</f>
        <v>-1.5520743604722106E-2</v>
      </c>
      <c r="M31" s="127" cm="1">
        <f t="array" aca="1" ref="M31" ca="1">Cubic_SPline(CreditCurveTenor,CreditCurveVal,F31)</f>
        <v>1.7834900753769034E-2</v>
      </c>
      <c r="N31" s="127">
        <f t="shared" ca="1" si="0"/>
        <v>0.84917788619443713</v>
      </c>
      <c r="O31" s="128">
        <f t="shared" ca="1" si="3"/>
        <v>0.90656553746149626</v>
      </c>
      <c r="P31" s="93"/>
      <c r="Q31" s="93"/>
      <c r="R31" s="93"/>
    </row>
    <row r="32" spans="2:26" ht="14.4" customHeight="1" x14ac:dyDescent="0.3">
      <c r="B32" s="139">
        <v>20</v>
      </c>
      <c r="C32" s="140">
        <f ca="1"/>
        <v>0.02</v>
      </c>
      <c r="D32" s="93"/>
      <c r="E32" s="101">
        <f t="shared" si="4"/>
        <v>24</v>
      </c>
      <c r="F32" s="125">
        <f t="shared" si="5"/>
        <v>5.75</v>
      </c>
      <c r="G32" s="126" cm="1">
        <f t="array" aca="1" ref="G32" ca="1">EXP(-Cubic_SPline(ZCTime,ZCRate,F32)*F32)</f>
        <v>0.91851089312518264</v>
      </c>
      <c r="H32" s="127">
        <f t="shared" ca="1" si="1"/>
        <v>0.22962772328129566</v>
      </c>
      <c r="I32" s="126">
        <f t="shared" ca="1" si="2"/>
        <v>4.7185327728228588E-3</v>
      </c>
      <c r="J32" s="127">
        <f ca="1">(SwapRateSA*SUM(H33:$H$49)-SUM(I33:$I$49))*IF(PayRec="PAY",-1,1)</f>
        <v>1.707717252292941E-2</v>
      </c>
      <c r="K32" s="127" cm="1">
        <f t="array" aca="1" ref="K32" ca="1">PriceSwaption($F$9:$F$49,$G$9:$G$49,E32,SwapRateSA,MeanRvs,IRVol,IF(PayRec="PAY",1,-1))</f>
        <v>3.2040714145330704E-2</v>
      </c>
      <c r="L32" s="126" cm="1">
        <f t="array" aca="1" ref="L32" ca="1">-PriceSwaption($F$9:$F$49,$G$9:$G$49,E32,SwapRateSA,MeanRvs,IRVol,IF(PayRec="PAY",-1,1))</f>
        <v>-1.4963541622401469E-2</v>
      </c>
      <c r="M32" s="127" cm="1">
        <f t="array" aca="1" ref="M32" ca="1">Cubic_SPline(CreditCurveTenor,CreditCurveVal,F32)</f>
        <v>1.8193068905588916E-2</v>
      </c>
      <c r="N32" s="127">
        <f t="shared" ca="1" si="0"/>
        <v>0.84000264051577267</v>
      </c>
      <c r="O32" s="128">
        <f t="shared" ca="1" si="3"/>
        <v>0.90067558594344832</v>
      </c>
      <c r="P32" s="93"/>
      <c r="Q32" s="93"/>
      <c r="R32" s="93"/>
    </row>
    <row r="33" spans="2:18" ht="14.4" customHeight="1" x14ac:dyDescent="0.3">
      <c r="B33" s="28" t="s">
        <v>28</v>
      </c>
      <c r="C33" s="141">
        <v>0.1</v>
      </c>
      <c r="D33" s="93"/>
      <c r="E33" s="101">
        <f t="shared" si="4"/>
        <v>25</v>
      </c>
      <c r="F33" s="125">
        <f t="shared" si="5"/>
        <v>6</v>
      </c>
      <c r="G33" s="126" cm="1">
        <f t="array" aca="1" ref="G33" ca="1">EXP(-Cubic_SPline(ZCTime,ZCRate,F33)*F33)</f>
        <v>0.91371616121371335</v>
      </c>
      <c r="H33" s="127">
        <f t="shared" ca="1" si="1"/>
        <v>0.22842904030342834</v>
      </c>
      <c r="I33" s="126">
        <f t="shared" ca="1" si="2"/>
        <v>4.7947319114692855E-3</v>
      </c>
      <c r="J33" s="127">
        <f ca="1">(SwapRateSA*SUM(H34:$H$49)-SUM(I34:$I$49))*IF(PayRec="PAY",-1,1)</f>
        <v>1.6349699785173234E-2</v>
      </c>
      <c r="K33" s="127" cm="1">
        <f t="array" aca="1" ref="K33" ca="1">PriceSwaption($F$9:$F$49,$G$9:$G$49,E33,SwapRateSA,MeanRvs,IRVol,IF(PayRec="PAY",1,-1))</f>
        <v>3.0732966674020555E-2</v>
      </c>
      <c r="L33" s="126" cm="1">
        <f t="array" aca="1" ref="L33" ca="1">-PriceSwaption($F$9:$F$49,$G$9:$G$49,E33,SwapRateSA,MeanRvs,IRVol,IF(PayRec="PAY",-1,1))</f>
        <v>-1.4383266888847323E-2</v>
      </c>
      <c r="M33" s="127" cm="1">
        <f t="array" aca="1" ref="M33" ca="1">Cubic_SPline(CreditCurveTenor,CreditCurveVal,F33)</f>
        <v>1.8515345167543273E-2</v>
      </c>
      <c r="N33" s="127">
        <f t="shared" ca="1" si="0"/>
        <v>0.83097675929198822</v>
      </c>
      <c r="O33" s="128">
        <f t="shared" ca="1" si="3"/>
        <v>0.89485635481188408</v>
      </c>
      <c r="P33" s="93"/>
      <c r="Q33" s="93"/>
      <c r="R33" s="93"/>
    </row>
    <row r="34" spans="2:18" ht="14.4" customHeight="1" thickBot="1" x14ac:dyDescent="0.35">
      <c r="B34" s="31" t="s">
        <v>27</v>
      </c>
      <c r="C34" s="142">
        <v>0.01</v>
      </c>
      <c r="D34" s="93"/>
      <c r="E34" s="101">
        <f t="shared" si="4"/>
        <v>26</v>
      </c>
      <c r="F34" s="125">
        <f t="shared" si="5"/>
        <v>6.25</v>
      </c>
      <c r="G34" s="126" cm="1">
        <f t="array" aca="1" ref="G34" ca="1">EXP(-Cubic_SPline(ZCTime,ZCRate,F34)*F34)</f>
        <v>0.90885780890205159</v>
      </c>
      <c r="H34" s="127">
        <f t="shared" ca="1" si="1"/>
        <v>0.2272144522255129</v>
      </c>
      <c r="I34" s="126">
        <f t="shared" ca="1" si="2"/>
        <v>4.8583523116617622E-3</v>
      </c>
      <c r="J34" s="127">
        <f ca="1">(SwapRateSA*SUM(H35:$H$49)-SUM(I35:$I$49))*IF(PayRec="PAY",-1,1)</f>
        <v>1.55369804805357E-2</v>
      </c>
      <c r="K34" s="127" cm="1">
        <f t="array" aca="1" ref="K34" ca="1">PriceSwaption($F$9:$F$49,$G$9:$G$49,E34,SwapRateSA,MeanRvs,IRVol,IF(PayRec="PAY",1,-1))</f>
        <v>2.931468553943312E-2</v>
      </c>
      <c r="L34" s="126" cm="1">
        <f t="array" aca="1" ref="L34" ca="1">-PriceSwaption($F$9:$F$49,$G$9:$G$49,E34,SwapRateSA,MeanRvs,IRVol,IF(PayRec="PAY",-1,1))</f>
        <v>-1.3777705058897492E-2</v>
      </c>
      <c r="M34" s="127" cm="1">
        <f t="array" aca="1" ref="M34" ca="1">Cubic_SPline(CreditCurveTenor,CreditCurveVal,F34)</f>
        <v>1.8804453832103718E-2</v>
      </c>
      <c r="N34" s="127">
        <f t="shared" ca="1" si="0"/>
        <v>0.8221111061579397</v>
      </c>
      <c r="O34" s="128">
        <f t="shared" ca="1" si="3"/>
        <v>0.88911576157495353</v>
      </c>
      <c r="P34" s="93"/>
      <c r="Q34" s="93"/>
      <c r="R34" s="93"/>
    </row>
    <row r="35" spans="2:18" ht="14.4" customHeight="1" thickBot="1" x14ac:dyDescent="0.35">
      <c r="B35" s="93"/>
      <c r="C35" s="93"/>
      <c r="D35" s="93"/>
      <c r="E35" s="101">
        <f t="shared" si="4"/>
        <v>27</v>
      </c>
      <c r="F35" s="125">
        <f t="shared" si="5"/>
        <v>6.5</v>
      </c>
      <c r="G35" s="126" cm="1">
        <f t="array" aca="1" ref="G35" ca="1">EXP(-Cubic_SPline(ZCTime,ZCRate,F35)*F35)</f>
        <v>0.90394959642827066</v>
      </c>
      <c r="H35" s="127">
        <f t="shared" ca="1" si="1"/>
        <v>0.22598739910706767</v>
      </c>
      <c r="I35" s="126">
        <f t="shared" ca="1" si="2"/>
        <v>4.9082124737809263E-3</v>
      </c>
      <c r="J35" s="127">
        <f ca="1">(SwapRateSA*SUM(H36:$H$49)-SUM(I36:$I$49))*IF(PayRec="PAY",-1,1)</f>
        <v>1.4652552902671943E-2</v>
      </c>
      <c r="K35" s="127" cm="1">
        <f t="array" aca="1" ref="K35" ca="1">PriceSwaption($F$9:$F$49,$G$9:$G$49,E35,SwapRateSA,MeanRvs,IRVol,IF(PayRec="PAY",1,-1))</f>
        <v>2.7796482596982967E-2</v>
      </c>
      <c r="L35" s="126" cm="1">
        <f t="array" aca="1" ref="L35" ca="1">-PriceSwaption($F$9:$F$49,$G$9:$G$49,E35,SwapRateSA,MeanRvs,IRVol,IF(PayRec="PAY",-1,1))</f>
        <v>-1.3143929694311232E-2</v>
      </c>
      <c r="M35" s="127" cm="1">
        <f t="array" aca="1" ref="M35" ca="1">Cubic_SPline(CreditCurveTenor,CreditCurveVal,F35)</f>
        <v>1.9063117329096713E-2</v>
      </c>
      <c r="N35" s="127">
        <f t="shared" ca="1" si="0"/>
        <v>0.81341234840898335</v>
      </c>
      <c r="O35" s="128">
        <f t="shared" ca="1" si="3"/>
        <v>0.883459116615263</v>
      </c>
      <c r="P35" s="93"/>
      <c r="Q35" s="93"/>
      <c r="R35" s="93"/>
    </row>
    <row r="36" spans="2:18" ht="14.4" customHeight="1" thickBot="1" x14ac:dyDescent="0.35">
      <c r="B36" s="149" t="s">
        <v>29</v>
      </c>
      <c r="C36" s="150"/>
      <c r="D36" s="93"/>
      <c r="E36" s="101">
        <f t="shared" si="4"/>
        <v>28</v>
      </c>
      <c r="F36" s="125">
        <f t="shared" si="5"/>
        <v>6.75</v>
      </c>
      <c r="G36" s="126" cm="1">
        <f t="array" aca="1" ref="G36" ca="1">EXP(-Cubic_SPline(ZCTime,ZCRate,F36)*F36)</f>
        <v>0.89900641477988541</v>
      </c>
      <c r="H36" s="127">
        <f t="shared" ca="1" si="1"/>
        <v>0.22475160369497135</v>
      </c>
      <c r="I36" s="126">
        <f t="shared" ca="1" si="2"/>
        <v>4.9431816483852531E-3</v>
      </c>
      <c r="J36" s="127">
        <f ca="1">(SwapRateSA*SUM(H37:$H$49)-SUM(I37:$I$49))*IF(PayRec="PAY",-1,1)</f>
        <v>1.3711152379492365E-2</v>
      </c>
      <c r="K36" s="127" cm="1">
        <f t="array" aca="1" ref="K36" ca="1">PriceSwaption($F$9:$F$49,$G$9:$G$49,E36,SwapRateSA,MeanRvs,IRVol,IF(PayRec="PAY",1,-1))</f>
        <v>2.6189464429538779E-2</v>
      </c>
      <c r="L36" s="126" cm="1">
        <f t="array" aca="1" ref="L36" ca="1">-PriceSwaption($F$9:$F$49,$G$9:$G$49,E36,SwapRateSA,MeanRvs,IRVol,IF(PayRec="PAY",-1,1))</f>
        <v>-1.2478312050046549E-2</v>
      </c>
      <c r="M36" s="127" cm="1">
        <f t="array" aca="1" ref="M36" ca="1">Cubic_SPline(CreditCurveTenor,CreditCurveVal,F36)</f>
        <v>1.9294058554010007E-2</v>
      </c>
      <c r="N36" s="127">
        <f t="shared" ca="1" si="0"/>
        <v>0.80488315695943136</v>
      </c>
      <c r="O36" s="128">
        <f t="shared" ca="1" si="3"/>
        <v>0.87788919470685278</v>
      </c>
      <c r="P36" s="93"/>
      <c r="Q36" s="93"/>
      <c r="R36" s="93"/>
    </row>
    <row r="37" spans="2:18" ht="14.4" customHeight="1" x14ac:dyDescent="0.3">
      <c r="B37" s="143" cm="1">
        <f t="array" ref="B37:B42">W10:W15</f>
        <v>1</v>
      </c>
      <c r="C37" s="137" cm="1">
        <f t="array" aca="1" ref="C37:C42" ca="1">INDIRECT(C13)</f>
        <v>5.0000000000000001E-3</v>
      </c>
      <c r="D37" s="93"/>
      <c r="E37" s="101">
        <f t="shared" si="4"/>
        <v>29</v>
      </c>
      <c r="F37" s="125">
        <f t="shared" si="5"/>
        <v>7</v>
      </c>
      <c r="G37" s="126" cm="1">
        <f t="array" aca="1" ref="G37" ca="1">EXP(-Cubic_SPline(ZCTime,ZCRate,F37)*F37)</f>
        <v>0.894044252744297</v>
      </c>
      <c r="H37" s="127">
        <f t="shared" ca="1" si="1"/>
        <v>0.22351106318607425</v>
      </c>
      <c r="I37" s="126">
        <f t="shared" ca="1" si="2"/>
        <v>4.9621620355884133E-3</v>
      </c>
      <c r="J37" s="127">
        <f ca="1">(SwapRateSA*SUM(H38:$H$49)-SUM(I38:$I$49))*IF(PayRec="PAY",-1,1)</f>
        <v>1.2728683210285481E-2</v>
      </c>
      <c r="K37" s="127" cm="1">
        <f t="array" aca="1" ref="K37" ca="1">PriceSwaption($F$9:$F$49,$G$9:$G$49,E37,SwapRateSA,MeanRvs,IRVol,IF(PayRec="PAY",1,-1))</f>
        <v>2.4505201306794816E-2</v>
      </c>
      <c r="L37" s="126" cm="1">
        <f t="array" aca="1" ref="L37" ca="1">-PriceSwaption($F$9:$F$49,$G$9:$G$49,E37,SwapRateSA,MeanRvs,IRVol,IF(PayRec="PAY",-1,1))</f>
        <v>-1.1776518096509337E-2</v>
      </c>
      <c r="M37" s="127" cm="1">
        <f t="array" aca="1" ref="M37" ca="1">Cubic_SPline(CreditCurveTenor,CreditCurveVal,F37)</f>
        <v>1.9500000402331352E-2</v>
      </c>
      <c r="N37" s="127">
        <f t="shared" ca="1" si="0"/>
        <v>0.79652241775872257</v>
      </c>
      <c r="O37" s="128">
        <f t="shared" ca="1" si="3"/>
        <v>0.87240631780264721</v>
      </c>
      <c r="P37" s="93"/>
      <c r="Q37" s="93"/>
      <c r="R37" s="93"/>
    </row>
    <row r="38" spans="2:18" ht="14.4" customHeight="1" x14ac:dyDescent="0.3">
      <c r="B38" s="84">
        <v>3</v>
      </c>
      <c r="C38" s="138">
        <f ca="1"/>
        <v>1.2E-2</v>
      </c>
      <c r="D38" s="93"/>
      <c r="E38" s="101">
        <f t="shared" si="4"/>
        <v>30</v>
      </c>
      <c r="F38" s="125">
        <f t="shared" si="5"/>
        <v>7.25</v>
      </c>
      <c r="G38" s="126" cm="1">
        <f t="array" aca="1" ref="G38" ca="1">EXP(-Cubic_SPline(ZCTime,ZCRate,F38)*F38)</f>
        <v>0.88907796013963303</v>
      </c>
      <c r="H38" s="127">
        <f t="shared" ca="1" si="1"/>
        <v>0.22226949003490826</v>
      </c>
      <c r="I38" s="126">
        <f t="shared" ca="1" si="2"/>
        <v>4.9662926046639688E-3</v>
      </c>
      <c r="J38" s="127">
        <f ca="1">(SwapRateSA*SUM(H39:$H$49)-SUM(I39:$I$49))*IF(PayRec="PAY",-1,1)</f>
        <v>1.171997682662114E-2</v>
      </c>
      <c r="K38" s="127" cm="1">
        <f t="array" aca="1" ref="K38" ca="1">PriceSwaption($F$9:$F$49,$G$9:$G$49,E38,SwapRateSA,MeanRvs,IRVol,IF(PayRec="PAY",1,-1))</f>
        <v>2.2754316375678336E-2</v>
      </c>
      <c r="L38" s="126" cm="1">
        <f t="array" aca="1" ref="L38" ca="1">-PriceSwaption($F$9:$F$49,$G$9:$G$49,E38,SwapRateSA,MeanRvs,IRVol,IF(PayRec="PAY",-1,1))</f>
        <v>-1.1034339549057262E-2</v>
      </c>
      <c r="M38" s="127" cm="1">
        <f t="array" aca="1" ref="M38" ca="1">Cubic_SPline(CreditCurveTenor,CreditCurveVal,F38)</f>
        <v>1.9683485390239484E-2</v>
      </c>
      <c r="N38" s="127">
        <f t="shared" ca="1" si="0"/>
        <v>0.78832714619609356</v>
      </c>
      <c r="O38" s="128">
        <f t="shared" ca="1" si="3"/>
        <v>0.86700956576985522</v>
      </c>
      <c r="P38" s="93"/>
      <c r="Q38" s="93"/>
      <c r="R38" s="93"/>
    </row>
    <row r="39" spans="2:18" ht="14.4" customHeight="1" x14ac:dyDescent="0.3">
      <c r="B39" s="84">
        <v>5</v>
      </c>
      <c r="C39" s="138">
        <f ca="1"/>
        <v>1.7000000000000001E-2</v>
      </c>
      <c r="D39" s="93"/>
      <c r="E39" s="101">
        <f t="shared" si="4"/>
        <v>31</v>
      </c>
      <c r="F39" s="125">
        <f t="shared" si="5"/>
        <v>7.5</v>
      </c>
      <c r="G39" s="126" cm="1">
        <f t="array" aca="1" ref="G39" ca="1">EXP(-Cubic_SPline(ZCTime,ZCRate,F39)*F39)</f>
        <v>0.88411418776738493</v>
      </c>
      <c r="H39" s="127">
        <f t="shared" ca="1" si="1"/>
        <v>0.22102854694184623</v>
      </c>
      <c r="I39" s="126">
        <f t="shared" ca="1" si="2"/>
        <v>4.9637723722480986E-3</v>
      </c>
      <c r="J39" s="127">
        <f ca="1">(SwapRateSA*SUM(H40:$H$49)-SUM(I40:$I$49))*IF(PayRec="PAY",-1,1)</f>
        <v>1.0691695248396263E-2</v>
      </c>
      <c r="K39" s="127" cm="1">
        <f t="array" aca="1" ref="K39" ca="1">PriceSwaption($F$9:$F$49,$G$9:$G$49,E39,SwapRateSA,MeanRvs,IRVol,IF(PayRec="PAY",1,-1))</f>
        <v>2.0942093753471273E-2</v>
      </c>
      <c r="L39" s="126" cm="1">
        <f t="array" aca="1" ref="L39" ca="1">-PriceSwaption($F$9:$F$49,$G$9:$G$49,E39,SwapRateSA,MeanRvs,IRVol,IF(PayRec="PAY",-1,1))</f>
        <v>-1.0250398505075142E-2</v>
      </c>
      <c r="M39" s="127" cm="1">
        <f t="array" aca="1" ref="M39" ca="1">Cubic_SPline(CreditCurveTenor,CreditCurveVal,F39)</f>
        <v>1.9846329956243816E-2</v>
      </c>
      <c r="N39" s="127">
        <f t="shared" ca="1" si="0"/>
        <v>0.78029820016706919</v>
      </c>
      <c r="O39" s="128">
        <f t="shared" ca="1" si="3"/>
        <v>0.86170053603322161</v>
      </c>
      <c r="P39" s="93"/>
      <c r="Q39" s="93"/>
      <c r="R39" s="93"/>
    </row>
    <row r="40" spans="2:18" ht="14.4" customHeight="1" x14ac:dyDescent="0.3">
      <c r="B40" s="84">
        <v>7</v>
      </c>
      <c r="C40" s="138">
        <f ca="1"/>
        <v>1.95E-2</v>
      </c>
      <c r="D40" s="93"/>
      <c r="E40" s="101">
        <f t="shared" si="4"/>
        <v>32</v>
      </c>
      <c r="F40" s="125">
        <f t="shared" si="5"/>
        <v>7.75</v>
      </c>
      <c r="G40" s="126" cm="1">
        <f t="array" aca="1" ref="G40" ca="1">EXP(-Cubic_SPline(ZCTime,ZCRate,F40)*F40)</f>
        <v>0.87915698408895138</v>
      </c>
      <c r="H40" s="127">
        <f t="shared" ca="1" si="1"/>
        <v>0.21978924602223784</v>
      </c>
      <c r="I40" s="126">
        <f t="shared" ca="1" si="2"/>
        <v>4.9572036784335527E-3</v>
      </c>
      <c r="J40" s="127">
        <f ca="1">(SwapRateSA*SUM(H41:$H$49)-SUM(I41:$I$49))*IF(PayRec="PAY",-1,1)</f>
        <v>9.6479161764838131E-3</v>
      </c>
      <c r="K40" s="127" cm="1">
        <f t="array" aca="1" ref="K40" ca="1">PriceSwaption($F$9:$F$49,$G$9:$G$49,E40,SwapRateSA,MeanRvs,IRVol,IF(PayRec="PAY",1,-1))</f>
        <v>1.9072020695157895E-2</v>
      </c>
      <c r="L40" s="126" cm="1">
        <f t="array" aca="1" ref="L40" ca="1">-PriceSwaption($F$9:$F$49,$G$9:$G$49,E40,SwapRateSA,MeanRvs,IRVol,IF(PayRec="PAY",-1,1))</f>
        <v>-9.4241045186740559E-3</v>
      </c>
      <c r="M40" s="127" cm="1">
        <f t="array" aca="1" ref="M40" ca="1">Cubic_SPline(CreditCurveTenor,CreditCurveVal,F40)</f>
        <v>1.9990175620677064E-2</v>
      </c>
      <c r="N40" s="127">
        <f t="shared" ca="1" si="0"/>
        <v>0.77243575779372442</v>
      </c>
      <c r="O40" s="128">
        <f t="shared" ca="1" si="3"/>
        <v>0.85648038650965685</v>
      </c>
      <c r="P40" s="93"/>
      <c r="Q40" s="93"/>
      <c r="R40" s="93"/>
    </row>
    <row r="41" spans="2:18" ht="14.4" customHeight="1" x14ac:dyDescent="0.3">
      <c r="B41" s="84">
        <v>10</v>
      </c>
      <c r="C41" s="138">
        <f ca="1"/>
        <v>2.07E-2</v>
      </c>
      <c r="D41" s="93"/>
      <c r="E41" s="101">
        <f t="shared" si="4"/>
        <v>33</v>
      </c>
      <c r="F41" s="125">
        <f t="shared" si="5"/>
        <v>8</v>
      </c>
      <c r="G41" s="126" cm="1">
        <f t="array" aca="1" ref="G41" ca="1">EXP(-Cubic_SPline(ZCTime,ZCRate,F41)*F41)</f>
        <v>0.8742099131248855</v>
      </c>
      <c r="H41" s="127">
        <f t="shared" ca="1" si="1"/>
        <v>0.21855247828122137</v>
      </c>
      <c r="I41" s="126">
        <f t="shared" ca="1" si="2"/>
        <v>4.9470709640658805E-3</v>
      </c>
      <c r="J41" s="127">
        <f ca="1">(SwapRateSA*SUM(H42:$H$49)-SUM(I42:$I$49))*IF(PayRec="PAY",-1,1)</f>
        <v>8.592248735570119E-3</v>
      </c>
      <c r="K41" s="127" cm="1">
        <f t="array" aca="1" ref="K41" ca="1">PriceSwaption($F$9:$F$49,$G$9:$G$49,E41,SwapRateSA,MeanRvs,IRVol,IF(PayRec="PAY",1,-1))</f>
        <v>1.7147128144962585E-2</v>
      </c>
      <c r="L41" s="126" cm="1">
        <f t="array" aca="1" ref="L41" ca="1">-PriceSwaption($F$9:$F$49,$G$9:$G$49,E41,SwapRateSA,MeanRvs,IRVol,IF(PayRec="PAY",-1,1))</f>
        <v>-8.5548794093925906E-3</v>
      </c>
      <c r="M41" s="127" cm="1">
        <f t="array" aca="1" ref="M41" ca="1">Cubic_SPline(CreditCurveTenor,CreditCurveVal,F41)</f>
        <v>2.0116658446059074E-2</v>
      </c>
      <c r="N41" s="127">
        <f t="shared" ca="1" si="0"/>
        <v>0.76473790430263022</v>
      </c>
      <c r="O41" s="128">
        <f t="shared" ca="1" si="3"/>
        <v>0.85134888179253265</v>
      </c>
      <c r="P41" s="93"/>
      <c r="Q41" s="93"/>
      <c r="R41" s="93"/>
    </row>
    <row r="42" spans="2:18" ht="14.4" customHeight="1" thickBot="1" x14ac:dyDescent="0.35">
      <c r="B42" s="88">
        <v>20</v>
      </c>
      <c r="C42" s="144">
        <f ca="1"/>
        <v>2.1100000000000001E-2</v>
      </c>
      <c r="D42" s="93"/>
      <c r="E42" s="101">
        <f t="shared" si="4"/>
        <v>34</v>
      </c>
      <c r="F42" s="125">
        <f t="shared" si="5"/>
        <v>8.25</v>
      </c>
      <c r="G42" s="126" cm="1">
        <f t="array" aca="1" ref="G42" ca="1">EXP(-Cubic_SPline(ZCTime,ZCRate,F42)*F42)</f>
        <v>0.8692760696338212</v>
      </c>
      <c r="H42" s="127">
        <f t="shared" ca="1" si="1"/>
        <v>0.2173190174084553</v>
      </c>
      <c r="I42" s="126">
        <f t="shared" ca="1" si="2"/>
        <v>4.9338434910642937E-3</v>
      </c>
      <c r="J42" s="127">
        <f ca="1">(SwapRateSA*SUM(H43:$H$49)-SUM(I43:$I$49))*IF(PayRec="PAY",-1,1)</f>
        <v>7.527846564238036E-3</v>
      </c>
      <c r="K42" s="127" cm="1">
        <f t="array" aca="1" ref="K42" ca="1">PriceSwaption($F$9:$F$49,$G$9:$G$49,E42,SwapRateSA,MeanRvs,IRVol,IF(PayRec="PAY",1,-1))</f>
        <v>1.5170013448047484E-2</v>
      </c>
      <c r="L42" s="126" cm="1">
        <f t="array" aca="1" ref="L42" ca="1">-PriceSwaption($F$9:$F$49,$G$9:$G$49,E42,SwapRateSA,MeanRvs,IRVol,IF(PayRec="PAY",-1,1))</f>
        <v>-7.6421668838096545E-3</v>
      </c>
      <c r="M42" s="127" cm="1">
        <f t="array" aca="1" ref="M42" ca="1">Cubic_SPline(CreditCurveTenor,CreditCurveVal,F42)</f>
        <v>2.0227415378432159E-2</v>
      </c>
      <c r="N42" s="127">
        <f t="shared" ca="1" si="0"/>
        <v>0.75720068011244412</v>
      </c>
      <c r="O42" s="128">
        <f t="shared" ca="1" si="3"/>
        <v>0.84630439690722581</v>
      </c>
      <c r="P42" s="93"/>
      <c r="Q42" s="93"/>
      <c r="R42" s="93"/>
    </row>
    <row r="43" spans="2:18" ht="14.4" customHeight="1" x14ac:dyDescent="0.3">
      <c r="B43" s="93"/>
      <c r="C43" s="93"/>
      <c r="D43" s="93"/>
      <c r="E43" s="101">
        <f t="shared" si="4"/>
        <v>35</v>
      </c>
      <c r="F43" s="125">
        <f t="shared" si="5"/>
        <v>8.5</v>
      </c>
      <c r="G43" s="126" cm="1">
        <f t="array" aca="1" ref="G43" ca="1">EXP(-Cubic_SPline(ZCTime,ZCRate,F43)*F43)</f>
        <v>0.86435802512845372</v>
      </c>
      <c r="H43" s="127">
        <f t="shared" ca="1" si="1"/>
        <v>0.21608950628211343</v>
      </c>
      <c r="I43" s="126">
        <f t="shared" ca="1" si="2"/>
        <v>4.9180445053674804E-3</v>
      </c>
      <c r="J43" s="127">
        <f ca="1">(SwapRateSA*SUM(H44:$H$49)-SUM(I44:$I$49))*IF(PayRec="PAY",-1,1)</f>
        <v>6.4573515018030644E-3</v>
      </c>
      <c r="K43" s="127" cm="1">
        <f t="array" aca="1" ref="K43" ca="1">PriceSwaption($F$9:$F$49,$G$9:$G$49,E43,SwapRateSA,MeanRvs,IRVol,IF(PayRec="PAY",1,-1))</f>
        <v>1.3142819471914128E-2</v>
      </c>
      <c r="L43" s="126" cm="1">
        <f t="array" aca="1" ref="L43" ca="1">-PriceSwaption($F$9:$F$49,$G$9:$G$49,E43,SwapRateSA,MeanRvs,IRVol,IF(PayRec="PAY",-1,1))</f>
        <v>-6.6854679701110762E-3</v>
      </c>
      <c r="M43" s="127" cm="1">
        <f t="array" aca="1" ref="M43" ca="1">Cubic_SPline(CreditCurveTenor,CreditCurveVal,F43)</f>
        <v>2.0324086147184062E-2</v>
      </c>
      <c r="N43" s="127">
        <f t="shared" ca="1" si="0"/>
        <v>0.74981816107216581</v>
      </c>
      <c r="O43" s="128">
        <f t="shared" ca="1" si="3"/>
        <v>0.84134394407587976</v>
      </c>
      <c r="P43" s="93"/>
      <c r="Q43" s="93"/>
      <c r="R43" s="93"/>
    </row>
    <row r="44" spans="2:18" ht="14.4" customHeight="1" x14ac:dyDescent="0.3">
      <c r="B44" s="93"/>
      <c r="C44" s="93"/>
      <c r="D44" s="93"/>
      <c r="E44" s="101">
        <f t="shared" si="4"/>
        <v>36</v>
      </c>
      <c r="F44" s="125">
        <f t="shared" si="5"/>
        <v>8.75</v>
      </c>
      <c r="G44" s="126" cm="1">
        <f t="array" aca="1" ref="G44" ca="1">EXP(-Cubic_SPline(ZCTime,ZCRate,F44)*F44)</f>
        <v>0.85945793223772882</v>
      </c>
      <c r="H44" s="127">
        <f t="shared" ca="1" si="1"/>
        <v>0.2148644830594322</v>
      </c>
      <c r="I44" s="126">
        <f t="shared" ca="1" si="2"/>
        <v>4.9000928907249053E-3</v>
      </c>
      <c r="J44" s="127">
        <f ca="1">(SwapRateSA*SUM(H45:$H$49)-SUM(I45:$I$49))*IF(PayRec="PAY",-1,1)</f>
        <v>5.3829960859095825E-3</v>
      </c>
      <c r="K44" s="127" cm="1">
        <f t="array" aca="1" ref="K44" ca="1">PriceSwaption($F$9:$F$49,$G$9:$G$49,E44,SwapRateSA,MeanRvs,IRVol,IF(PayRec="PAY",1,-1))</f>
        <v>1.1067310414590276E-2</v>
      </c>
      <c r="L44" s="126" cm="1">
        <f t="array" aca="1" ref="L44" ca="1">-PriceSwaption($F$9:$F$49,$G$9:$G$49,E44,SwapRateSA,MeanRvs,IRVol,IF(PayRec="PAY",-1,1))</f>
        <v>-5.6843143286807191E-3</v>
      </c>
      <c r="M44" s="127" cm="1">
        <f t="array" aca="1" ref="M44" ca="1">Cubic_SPline(CreditCurveTenor,CreditCurveVal,F44)</f>
        <v>2.0408306769358134E-2</v>
      </c>
      <c r="N44" s="127">
        <f t="shared" ca="1" si="0"/>
        <v>0.74258262102616568</v>
      </c>
      <c r="O44" s="128">
        <f t="shared" ca="1" si="3"/>
        <v>0.83646325697848989</v>
      </c>
      <c r="P44" s="93"/>
      <c r="Q44" s="93"/>
      <c r="R44" s="93"/>
    </row>
    <row r="45" spans="2:18" ht="14.4" customHeight="1" x14ac:dyDescent="0.3">
      <c r="B45" s="93"/>
      <c r="C45" s="93"/>
      <c r="D45" s="93"/>
      <c r="E45" s="101">
        <f t="shared" si="4"/>
        <v>37</v>
      </c>
      <c r="F45" s="125">
        <f t="shared" si="5"/>
        <v>9</v>
      </c>
      <c r="G45" s="126" cm="1">
        <f t="array" aca="1" ref="G45" ca="1">EXP(-Cubic_SPline(ZCTime,ZCRate,F45)*F45)</f>
        <v>0.85457746005576307</v>
      </c>
      <c r="H45" s="127">
        <f t="shared" ca="1" si="1"/>
        <v>0.21364436501394077</v>
      </c>
      <c r="I45" s="126">
        <f t="shared" ca="1" si="2"/>
        <v>4.8804721819657448E-3</v>
      </c>
      <c r="J45" s="127">
        <f ca="1">(SwapRateSA*SUM(H46:$H$49)-SUM(I46:$I$49))*IF(PayRec="PAY",-1,1)</f>
        <v>4.3065367490742936E-3</v>
      </c>
      <c r="K45" s="127" cm="1">
        <f t="array" aca="1" ref="K45" ca="1">PriceSwaption($F$9:$F$49,$G$9:$G$49,E45,SwapRateSA,MeanRvs,IRVol,IF(PayRec="PAY",1,-1))</f>
        <v>8.9448427461893583E-3</v>
      </c>
      <c r="L45" s="126" cm="1">
        <f t="array" aca="1" ref="L45" ca="1">-PriceSwaption($F$9:$F$49,$G$9:$G$49,E45,SwapRateSA,MeanRvs,IRVol,IF(PayRec="PAY",-1,1))</f>
        <v>-4.638305997114925E-3</v>
      </c>
      <c r="M45" s="127" cm="1">
        <f t="array" aca="1" ref="M45" ca="1">Cubic_SPline(CreditCurveTenor,CreditCurveVal,F45)</f>
        <v>2.0481716996582473E-2</v>
      </c>
      <c r="N45" s="127">
        <f t="shared" ca="1" si="0"/>
        <v>0.73548454288847209</v>
      </c>
      <c r="O45" s="128">
        <f t="shared" ca="1" si="3"/>
        <v>0.83165677529415061</v>
      </c>
      <c r="P45" s="93"/>
      <c r="Q45" s="93"/>
      <c r="R45" s="93"/>
    </row>
    <row r="46" spans="2:18" ht="14.4" customHeight="1" x14ac:dyDescent="0.3">
      <c r="B46" s="93"/>
      <c r="C46" s="93"/>
      <c r="D46" s="93"/>
      <c r="E46" s="101">
        <f t="shared" si="4"/>
        <v>38</v>
      </c>
      <c r="F46" s="125">
        <f t="shared" si="5"/>
        <v>9.25</v>
      </c>
      <c r="G46" s="126" cm="1">
        <f t="array" aca="1" ref="G46" ca="1">EXP(-Cubic_SPline(ZCTime,ZCRate,F46)*F46)</f>
        <v>0.84971785390543964</v>
      </c>
      <c r="H46" s="127">
        <f t="shared" ca="1" si="1"/>
        <v>0.21242946347635991</v>
      </c>
      <c r="I46" s="126">
        <f t="shared" ca="1" si="2"/>
        <v>4.8596061503234367E-3</v>
      </c>
      <c r="J46" s="127">
        <f ca="1">(SwapRateSA*SUM(H47:$H$49)-SUM(I47:$I$49))*IF(PayRec="PAY",-1,1)</f>
        <v>3.2293116959331535E-3</v>
      </c>
      <c r="K46" s="127" cm="1">
        <f t="array" aca="1" ref="K46" ca="1">PriceSwaption($F$9:$F$49,$G$9:$G$49,E46,SwapRateSA,MeanRvs,IRVol,IF(PayRec="PAY",1,-1))</f>
        <v>6.7764118105592148E-3</v>
      </c>
      <c r="L46" s="126" cm="1">
        <f t="array" aca="1" ref="L46" ca="1">-PriceSwaption($F$9:$F$49,$G$9:$G$49,E46,SwapRateSA,MeanRvs,IRVol,IF(PayRec="PAY",-1,1))</f>
        <v>-3.5471001146261298E-3</v>
      </c>
      <c r="M46" s="127" cm="1">
        <f t="array" aca="1" ref="M46" ca="1">Cubic_SPline(CreditCurveTenor,CreditCurveVal,F46)</f>
        <v>2.0545953291644992E-2</v>
      </c>
      <c r="N46" s="127">
        <f t="shared" ca="1" si="0"/>
        <v>0.72851277807541226</v>
      </c>
      <c r="O46" s="128">
        <f t="shared" ca="1" si="3"/>
        <v>0.82691773083317366</v>
      </c>
      <c r="P46" s="93"/>
      <c r="Q46" s="93"/>
      <c r="R46" s="93"/>
    </row>
    <row r="47" spans="2:18" ht="14.4" customHeight="1" x14ac:dyDescent="0.3">
      <c r="B47" s="93"/>
      <c r="C47" s="93"/>
      <c r="D47" s="93"/>
      <c r="E47" s="101">
        <f t="shared" si="4"/>
        <v>39</v>
      </c>
      <c r="F47" s="125">
        <f t="shared" si="5"/>
        <v>9.5</v>
      </c>
      <c r="G47" s="126" cm="1">
        <f t="array" aca="1" ref="G47" ca="1">EXP(-Cubic_SPline(ZCTime,ZCRate,F47)*F47)</f>
        <v>0.84487991715839417</v>
      </c>
      <c r="H47" s="127">
        <f t="shared" ca="1" si="1"/>
        <v>0.21121997928959854</v>
      </c>
      <c r="I47" s="126">
        <f t="shared" ca="1" si="2"/>
        <v>4.8379367470454682E-3</v>
      </c>
      <c r="J47" s="127">
        <f ca="1">(SwapRateSA*SUM(H48:$H$49)-SUM(I48:$I$49))*IF(PayRec="PAY",-1,1)</f>
        <v>2.1522207559530509E-3</v>
      </c>
      <c r="K47" s="127" cm="1">
        <f t="array" aca="1" ref="K47" ca="1">PriceSwaption($F$9:$F$49,$G$9:$G$49,E47,SwapRateSA,MeanRvs,IRVol,IF(PayRec="PAY",1,-1))</f>
        <v>4.5626500635668451E-3</v>
      </c>
      <c r="L47" s="126" cm="1">
        <f t="array" aca="1" ref="L47" ca="1">-PriceSwaption($F$9:$F$49,$G$9:$G$49,E47,SwapRateSA,MeanRvs,IRVol,IF(PayRec="PAY",-1,1))</f>
        <v>-2.4104293076138224E-3</v>
      </c>
      <c r="M47" s="127" cm="1">
        <f t="array" aca="1" ref="M47" ca="1">Cubic_SPline(CreditCurveTenor,CreditCurveVal,F47)</f>
        <v>2.0602654013837162E-2</v>
      </c>
      <c r="N47" s="127">
        <f t="shared" ca="1" si="0"/>
        <v>0.72165457066856398</v>
      </c>
      <c r="O47" s="128">
        <f t="shared" ca="1" si="3"/>
        <v>0.82223814388308103</v>
      </c>
      <c r="P47" s="93"/>
      <c r="Q47" s="93"/>
      <c r="R47" s="93"/>
    </row>
    <row r="48" spans="2:18" ht="14.4" customHeight="1" x14ac:dyDescent="0.3">
      <c r="B48" s="93"/>
      <c r="C48" s="93"/>
      <c r="D48" s="93"/>
      <c r="E48" s="101">
        <f t="shared" si="4"/>
        <v>40</v>
      </c>
      <c r="F48" s="125">
        <f t="shared" si="5"/>
        <v>9.75</v>
      </c>
      <c r="G48" s="126" cm="1">
        <f t="array" aca="1" ref="G48" ca="1">EXP(-Cubic_SPline(ZCTime,ZCRate,F48)*F48)</f>
        <v>0.84006404376026167</v>
      </c>
      <c r="H48" s="127">
        <f t="shared" ca="1" si="1"/>
        <v>0.21001601094006542</v>
      </c>
      <c r="I48" s="126">
        <f t="shared" ca="1" si="2"/>
        <v>4.8158733981324975E-3</v>
      </c>
      <c r="J48" s="127">
        <f ca="1">(SwapRateSA*SUM(H49:$H$49)-SUM(I49:$I$49))*IF(PayRec="PAY",-1,1)</f>
        <v>1.0757560861852679E-3</v>
      </c>
      <c r="K48" s="127" cm="1">
        <f t="array" aca="1" ref="K48" ca="1">PriceSwaption($F$9:$F$49,$G$9:$G$49,E48,SwapRateSA,MeanRvs,IRVol,IF(PayRec="PAY",1,-1))</f>
        <v>2.3038555785121657E-3</v>
      </c>
      <c r="L48" s="126" cm="1">
        <f t="array" aca="1" ref="L48" ca="1">-PriceSwaption($F$9:$F$49,$G$9:$G$49,E48,SwapRateSA,MeanRvs,IRVol,IF(PayRec="PAY",-1,1))</f>
        <v>-1.2280994923268768E-3</v>
      </c>
      <c r="M48" s="127" cm="1">
        <f t="array" aca="1" ref="M48" ca="1">Cubic_SPline(CreditCurveTenor,CreditCurveVal,F48)</f>
        <v>2.0653457031644312E-2</v>
      </c>
      <c r="N48" s="127">
        <f t="shared" ca="1" si="0"/>
        <v>0.71489566017348238</v>
      </c>
      <c r="O48" s="128">
        <f t="shared" ca="1" si="3"/>
        <v>0.81760887384863323</v>
      </c>
      <c r="P48" s="93"/>
      <c r="Q48" s="93"/>
      <c r="R48" s="93"/>
    </row>
    <row r="49" spans="2:18" ht="14.4" customHeight="1" thickBot="1" x14ac:dyDescent="0.35">
      <c r="B49" s="93"/>
      <c r="C49" s="93"/>
      <c r="D49" s="93"/>
      <c r="E49" s="108">
        <f t="shared" si="4"/>
        <v>41</v>
      </c>
      <c r="F49" s="145">
        <f t="shared" si="5"/>
        <v>10</v>
      </c>
      <c r="G49" s="146" cm="1">
        <f t="array" aca="1" ref="G49" ca="1">EXP(-Cubic_SPline(ZCTime,ZCRate,F49)*F49)</f>
        <v>0.83527021788345002</v>
      </c>
      <c r="H49" s="147">
        <f t="shared" ca="1" si="1"/>
        <v>0.2088175544708625</v>
      </c>
      <c r="I49" s="146">
        <f t="shared" ca="1" si="2"/>
        <v>4.7938258768116526E-3</v>
      </c>
      <c r="J49" s="147">
        <v>0</v>
      </c>
      <c r="K49" s="147">
        <v>0</v>
      </c>
      <c r="L49" s="146">
        <v>0</v>
      </c>
      <c r="M49" s="147" cm="1">
        <f t="array" aca="1" ref="M49" ca="1">Cubic_SPline(CreditCurveTenor,CreditCurveVal,F49)</f>
        <v>2.070000022649765E-2</v>
      </c>
      <c r="N49" s="147">
        <f t="shared" ca="1" si="0"/>
        <v>0.70822035079429591</v>
      </c>
      <c r="O49" s="148">
        <f t="shared" ca="1" si="3"/>
        <v>0.81301964814610062</v>
      </c>
      <c r="P49" s="93"/>
      <c r="Q49" s="93"/>
      <c r="R49" s="93"/>
    </row>
    <row r="50" spans="2:18" ht="14.4" customHeight="1" x14ac:dyDescent="0.3"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</row>
    <row r="51" spans="2:18" ht="14.4" customHeight="1" x14ac:dyDescent="0.3"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</row>
    <row r="52" spans="2:18" ht="14.4" customHeight="1" x14ac:dyDescent="0.3"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</row>
    <row r="53" spans="2:18" ht="14.4" customHeight="1" x14ac:dyDescent="0.3"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</row>
    <row r="54" spans="2:18" ht="14.4" customHeight="1" x14ac:dyDescent="0.3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</row>
    <row r="55" spans="2:18" ht="14.4" customHeight="1" x14ac:dyDescent="0.3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</row>
    <row r="56" spans="2:18" ht="14.4" customHeight="1" x14ac:dyDescent="0.3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</row>
    <row r="57" spans="2:18" ht="14.4" customHeight="1" x14ac:dyDescent="0.3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</row>
    <row r="58" spans="2:18" ht="14.4" customHeight="1" x14ac:dyDescent="0.3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</row>
    <row r="59" spans="2:18" ht="14.4" customHeight="1" x14ac:dyDescent="0.3"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</row>
    <row r="60" spans="2:18" ht="14.4" customHeight="1" x14ac:dyDescent="0.3"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</row>
  </sheetData>
  <mergeCells count="4">
    <mergeCell ref="B23:C23"/>
    <mergeCell ref="B36:C36"/>
    <mergeCell ref="B8:C8"/>
    <mergeCell ref="B15:C15"/>
  </mergeCells>
  <dataValidations count="3">
    <dataValidation type="list" allowBlank="1" showInputMessage="1" showErrorMessage="1" sqref="C9" xr:uid="{5AEC497A-DA3D-46EF-82D6-7F3B6A6CFBB6}">
      <formula1>"PAY, REC"</formula1>
    </dataValidation>
    <dataValidation type="list" allowBlank="1" showInputMessage="1" showErrorMessage="1" sqref="C12" xr:uid="{75ED53A3-9F42-4819-93CC-A2E485C868FA}">
      <formula1>"Upwards, Flat, Humped"</formula1>
    </dataValidation>
    <dataValidation type="list" allowBlank="1" showInputMessage="1" showErrorMessage="1" sqref="C13" xr:uid="{2F70075D-4E6F-4AA8-9463-B1048A8D902F}">
      <formula1>"XXX,YYY,ZZZ,ZYX"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117F-FA88-4868-9CED-426C343060A9}">
  <sheetPr codeName="Sheet3"/>
  <dimension ref="B1:P61"/>
  <sheetViews>
    <sheetView showGridLines="0" workbookViewId="0">
      <pane ySplit="7" topLeftCell="A8" activePane="bottomLeft" state="frozen"/>
      <selection pane="bottomLeft" activeCell="E34" sqref="E34"/>
    </sheetView>
  </sheetViews>
  <sheetFormatPr defaultColWidth="9.109375" defaultRowHeight="13.2" x14ac:dyDescent="0.25"/>
  <cols>
    <col min="1" max="1" width="9.109375" style="1"/>
    <col min="2" max="2" width="17.88671875" style="1" bestFit="1" customWidth="1"/>
    <col min="3" max="3" width="13.33203125" style="1" customWidth="1"/>
    <col min="4" max="4" width="10.77734375" style="1" customWidth="1"/>
    <col min="5" max="5" width="10.109375" style="1" customWidth="1"/>
    <col min="6" max="6" width="8.109375" style="1" customWidth="1"/>
    <col min="7" max="7" width="8.88671875" style="1" bestFit="1" customWidth="1"/>
    <col min="8" max="8" width="10.77734375" style="1" customWidth="1"/>
    <col min="9" max="9" width="9.109375" style="1" customWidth="1"/>
    <col min="10" max="11" width="8.77734375" style="1" customWidth="1"/>
    <col min="12" max="12" width="10.109375" style="1" customWidth="1"/>
    <col min="13" max="16384" width="9.109375" style="1"/>
  </cols>
  <sheetData>
    <row r="1" spans="2:16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6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6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6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6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6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6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6" ht="14.4" customHeight="1" thickBot="1" x14ac:dyDescent="0.3"/>
    <row r="9" spans="2:16" ht="14.4" customHeight="1" thickBot="1" x14ac:dyDescent="0.35">
      <c r="B9" s="151" t="s">
        <v>24</v>
      </c>
      <c r="C9" s="152"/>
      <c r="D9" s="93"/>
      <c r="E9" s="93"/>
      <c r="F9" s="67"/>
      <c r="G9" s="94"/>
      <c r="H9" s="94"/>
      <c r="I9" s="153" t="s">
        <v>40</v>
      </c>
      <c r="J9" s="154"/>
      <c r="K9" s="155" t="s">
        <v>41</v>
      </c>
      <c r="L9" s="156"/>
      <c r="M9" s="93"/>
      <c r="N9" s="93"/>
      <c r="O9" s="93"/>
      <c r="P9" s="93"/>
    </row>
    <row r="10" spans="2:16" ht="14.4" customHeight="1" x14ac:dyDescent="0.3">
      <c r="B10" s="95" t="s">
        <v>33</v>
      </c>
      <c r="C10" s="96" t="s">
        <v>9</v>
      </c>
      <c r="D10" s="93"/>
      <c r="E10" s="93"/>
      <c r="F10" s="97"/>
      <c r="G10" s="98" t="s">
        <v>6</v>
      </c>
      <c r="H10" s="99" t="s">
        <v>7</v>
      </c>
      <c r="I10" s="98" t="s">
        <v>22</v>
      </c>
      <c r="J10" s="99" t="s">
        <v>23</v>
      </c>
      <c r="K10" s="98" t="s">
        <v>22</v>
      </c>
      <c r="L10" s="100" t="s">
        <v>23</v>
      </c>
      <c r="M10" s="93"/>
      <c r="N10" s="93"/>
      <c r="O10" s="93"/>
      <c r="P10" s="93"/>
    </row>
    <row r="11" spans="2:16" ht="14.4" customHeight="1" x14ac:dyDescent="0.3">
      <c r="B11" s="101" t="s">
        <v>34</v>
      </c>
      <c r="C11" s="102" t="s">
        <v>10</v>
      </c>
      <c r="D11" s="93"/>
      <c r="E11" s="93"/>
      <c r="F11" s="103">
        <v>0</v>
      </c>
      <c r="G11" s="104" cm="1">
        <f t="array" aca="1" ref="G11:G51" ca="1">'14.1 (IRS CVA)'!K9:K49</f>
        <v>0</v>
      </c>
      <c r="H11" s="105" cm="1">
        <f t="array" aca="1" ref="H11:H51" ca="1">'14.1 (IRS CVA)'!L9:L49</f>
        <v>0</v>
      </c>
      <c r="I11" s="104" cm="1">
        <f t="array" aca="1" ref="I11" ca="1">Cubic_SPline(CntrptyCreditCurveTenor,CntrptyCreditCurveVal,F11)</f>
        <v>3.2808845571707934E-4</v>
      </c>
      <c r="J11" s="105">
        <f t="shared" ref="J11:J51" ca="1" si="0">EXP(-I11*F11/CntprtyLGD)</f>
        <v>1</v>
      </c>
      <c r="K11" s="104" cm="1">
        <f t="array" aca="1" ref="K11" ca="1">Cubic_SPline(CntrptyCreditCurveTenor,OwnCreditCurveVal,F11)</f>
        <v>3.8722801400581375E-4</v>
      </c>
      <c r="L11" s="106">
        <f t="shared" ref="L11:L51" ca="1" si="1">EXP(-K11*F11/OwnLGD)</f>
        <v>1</v>
      </c>
      <c r="M11" s="93"/>
      <c r="N11" s="55" t="s">
        <v>57</v>
      </c>
      <c r="O11" s="93"/>
      <c r="P11" s="93"/>
    </row>
    <row r="12" spans="2:16" ht="14.4" customHeight="1" x14ac:dyDescent="0.3">
      <c r="B12" s="101" t="s">
        <v>36</v>
      </c>
      <c r="C12" s="107">
        <v>0.6</v>
      </c>
      <c r="D12" s="93"/>
      <c r="E12" s="93"/>
      <c r="F12" s="103">
        <v>0.25</v>
      </c>
      <c r="G12" s="104">
        <f ca="1"/>
        <v>1.2663129390075464E-2</v>
      </c>
      <c r="H12" s="105">
        <f ca="1"/>
        <v>-1.0218686920433723E-2</v>
      </c>
      <c r="I12" s="104" cm="1">
        <f t="array" aca="1" ref="I12" ca="1">Cubic_SPline(CntrptyCreditCurveTenor,CntrptyCreditCurveVal,F12)</f>
        <v>7.100759369222942E-4</v>
      </c>
      <c r="J12" s="105">
        <f t="shared" ca="1" si="0"/>
        <v>0.9997041787900075</v>
      </c>
      <c r="K12" s="104" cm="1">
        <f t="array" aca="1" ref="K12" ca="1">Cubic_SPline(CntrptyCreditCurveTenor,OwnCreditCurveVal,F12)</f>
        <v>4.2496162257066317E-4</v>
      </c>
      <c r="L12" s="106">
        <f t="shared" ca="1" si="1"/>
        <v>0.99982294833275898</v>
      </c>
      <c r="M12" s="93"/>
      <c r="N12" s="55" t="s">
        <v>58</v>
      </c>
      <c r="O12" s="93"/>
      <c r="P12" s="93"/>
    </row>
    <row r="13" spans="2:16" ht="14.4" customHeight="1" thickBot="1" x14ac:dyDescent="0.35">
      <c r="B13" s="108" t="s">
        <v>35</v>
      </c>
      <c r="C13" s="109">
        <v>0.6</v>
      </c>
      <c r="D13" s="93"/>
      <c r="E13" s="93"/>
      <c r="F13" s="103">
        <v>0.5</v>
      </c>
      <c r="G13" s="104">
        <f ca="1"/>
        <v>1.8075346942871481E-2</v>
      </c>
      <c r="H13" s="105">
        <f ca="1"/>
        <v>-1.3441425172184163E-2</v>
      </c>
      <c r="I13" s="104" cm="1">
        <f t="array" aca="1" ref="I13" ca="1">Cubic_SPline(CntrptyCreditCurveTenor,CntrptyCreditCurveVal,F13)</f>
        <v>1.0800551372085465E-3</v>
      </c>
      <c r="J13" s="105">
        <f t="shared" ca="1" si="0"/>
        <v>0.99910035897218885</v>
      </c>
      <c r="K13" s="104" cm="1">
        <f t="array" aca="1" ref="K13" ca="1">Cubic_SPline(CntrptyCreditCurveTenor,OwnCreditCurveVal,F13)</f>
        <v>4.5451754795067245E-4</v>
      </c>
      <c r="L13" s="106">
        <f t="shared" ca="1" si="1"/>
        <v>0.99962130709897212</v>
      </c>
      <c r="M13" s="93"/>
      <c r="N13" s="55" t="s">
        <v>59</v>
      </c>
      <c r="O13" s="93"/>
      <c r="P13" s="93"/>
    </row>
    <row r="14" spans="2:16" ht="14.4" customHeight="1" thickBot="1" x14ac:dyDescent="0.35">
      <c r="B14" s="93"/>
      <c r="C14" s="110"/>
      <c r="D14" s="93"/>
      <c r="E14" s="93"/>
      <c r="F14" s="103">
        <v>0.75</v>
      </c>
      <c r="G14" s="104">
        <f ca="1"/>
        <v>2.2111198349289277E-2</v>
      </c>
      <c r="H14" s="105">
        <f ca="1"/>
        <v>-1.5456334265157473E-2</v>
      </c>
      <c r="I14" s="104" cm="1">
        <f t="array" aca="1" ref="I14" ca="1">Cubic_SPline(CntrptyCreditCurveTenor,CntrptyCreditCurveVal,F14)</f>
        <v>1.4420290497128008E-3</v>
      </c>
      <c r="J14" s="105">
        <f t="shared" ca="1" si="0"/>
        <v>0.99819908728076234</v>
      </c>
      <c r="K14" s="104" cm="1">
        <f t="array" aca="1" ref="K14" ca="1">Cubic_SPline(CntrptyCreditCurveTenor,OwnCreditCurveVal,F14)</f>
        <v>4.7862172334589559E-4</v>
      </c>
      <c r="L14" s="106">
        <f t="shared" ca="1" si="1"/>
        <v>0.99940190177790877</v>
      </c>
      <c r="M14" s="93"/>
      <c r="N14" s="55" t="s">
        <v>60</v>
      </c>
      <c r="O14" s="93"/>
      <c r="P14" s="93"/>
    </row>
    <row r="15" spans="2:16" ht="14.4" customHeight="1" x14ac:dyDescent="0.3">
      <c r="B15" s="67"/>
      <c r="C15" s="68" t="s">
        <v>40</v>
      </c>
      <c r="D15" s="69" t="s">
        <v>41</v>
      </c>
      <c r="E15" s="93"/>
      <c r="F15" s="103">
        <v>1</v>
      </c>
      <c r="G15" s="104">
        <f ca="1"/>
        <v>2.5371168060990285E-2</v>
      </c>
      <c r="H15" s="105">
        <f ca="1"/>
        <v>-1.6821728315053193E-2</v>
      </c>
      <c r="I15" s="104" cm="1">
        <f t="array" aca="1" ref="I15" ca="1">Cubic_SPline(CntrptyCreditCurveTenor,CntrptyCreditCurveVal,F15)</f>
        <v>1.7999999690800905E-3</v>
      </c>
      <c r="J15" s="105">
        <f t="shared" ca="1" si="0"/>
        <v>0.99700449555475179</v>
      </c>
      <c r="K15" s="104" cm="1">
        <f t="array" aca="1" ref="K15" ca="1">Cubic_SPline(CntrptyCreditCurveTenor,OwnCreditCurveVal,F15)</f>
        <v>5.0000002374872565E-4</v>
      </c>
      <c r="L15" s="106">
        <f t="shared" ca="1" si="1"/>
        <v>0.99916701375291017</v>
      </c>
      <c r="M15" s="93"/>
      <c r="N15" s="93"/>
      <c r="O15" s="93"/>
      <c r="P15" s="93"/>
    </row>
    <row r="16" spans="2:16" ht="14.4" customHeight="1" x14ac:dyDescent="0.3">
      <c r="B16" s="74">
        <v>1</v>
      </c>
      <c r="C16" s="75" cm="1">
        <f t="array" aca="1" ref="C16:C21" ca="1">INDIRECT(C10)</f>
        <v>1.8E-3</v>
      </c>
      <c r="D16" s="76" cm="1">
        <f t="array" aca="1" ref="D16:D21" ca="1">INDIRECT(C11)</f>
        <v>5.0000000000000001E-4</v>
      </c>
      <c r="E16" s="93"/>
      <c r="F16" s="103">
        <v>1.25</v>
      </c>
      <c r="G16" s="104">
        <f ca="1"/>
        <v>2.8065758492413651E-2</v>
      </c>
      <c r="H16" s="105">
        <f ca="1"/>
        <v>-1.7781171720968179E-2</v>
      </c>
      <c r="I16" s="104" cm="1">
        <f t="array" aca="1" ref="I16" ca="1">Cubic_SPline(CntrptyCreditCurveTenor,CntrptyCreditCurveVal,F16)</f>
        <v>2.1579710048627021E-3</v>
      </c>
      <c r="J16" s="105">
        <f t="shared" ca="1" si="0"/>
        <v>0.99551431793257283</v>
      </c>
      <c r="K16" s="104" cm="1">
        <f t="array" aca="1" ref="K16" ca="1">Cubic_SPline(CntrptyCreditCurveTenor,OwnCreditCurveVal,F16)</f>
        <v>5.2137832415155572E-4</v>
      </c>
      <c r="L16" s="106">
        <f t="shared" ca="1" si="1"/>
        <v>0.99891438486496342</v>
      </c>
      <c r="M16" s="93"/>
      <c r="N16" s="93"/>
      <c r="O16" s="93"/>
      <c r="P16" s="93"/>
    </row>
    <row r="17" spans="2:16" ht="14.4" customHeight="1" x14ac:dyDescent="0.3">
      <c r="B17" s="84">
        <v>3</v>
      </c>
      <c r="C17" s="75">
        <f ca="1"/>
        <v>5.0000000000000001E-3</v>
      </c>
      <c r="D17" s="76">
        <f ca="1"/>
        <v>8.9999999999999998E-4</v>
      </c>
      <c r="E17" s="93"/>
      <c r="F17" s="103">
        <v>1.5</v>
      </c>
      <c r="G17" s="104">
        <f ca="1"/>
        <v>3.0306089157863803E-2</v>
      </c>
      <c r="H17" s="105">
        <f ca="1"/>
        <v>-1.8460887266812054E-2</v>
      </c>
      <c r="I17" s="104" cm="1">
        <f t="array" aca="1" ref="I17" ca="1">Cubic_SPline(CntrptyCreditCurveTenor,CntrptyCreditCurveVal,F17)</f>
        <v>2.5199448009516345E-3</v>
      </c>
      <c r="J17" s="105">
        <f t="shared" ca="1" si="0"/>
        <v>0.99371994052203294</v>
      </c>
      <c r="K17" s="104" cm="1">
        <f t="array" aca="1" ref="K17" ca="1">Cubic_SPline(CntrptyCreditCurveTenor,OwnCreditCurveVal,F17)</f>
        <v>5.4548249954677885E-4</v>
      </c>
      <c r="L17" s="106">
        <f t="shared" ca="1" si="1"/>
        <v>0.99863722317596415</v>
      </c>
      <c r="M17" s="93"/>
      <c r="N17" s="93"/>
      <c r="O17" s="93"/>
      <c r="P17" s="93"/>
    </row>
    <row r="18" spans="2:16" ht="14.4" customHeight="1" x14ac:dyDescent="0.3">
      <c r="B18" s="84">
        <v>5</v>
      </c>
      <c r="C18" s="75">
        <f ca="1"/>
        <v>9.1999999999999998E-3</v>
      </c>
      <c r="D18" s="76">
        <f ca="1"/>
        <v>2.2000000000000001E-3</v>
      </c>
      <c r="E18" s="93"/>
      <c r="F18" s="103">
        <v>1.75</v>
      </c>
      <c r="G18" s="104">
        <f ca="1"/>
        <v>3.2164166088938323E-2</v>
      </c>
      <c r="H18" s="105">
        <f ca="1"/>
        <v>-1.8933749296089729E-2</v>
      </c>
      <c r="I18" s="104" cm="1">
        <f t="array" aca="1" ref="I18" ca="1">Cubic_SPline(CntrptyCreditCurveTenor,CntrptyCreditCurveVal,F18)</f>
        <v>2.8899240012378868E-3</v>
      </c>
      <c r="J18" s="105">
        <f t="shared" ca="1" si="0"/>
        <v>0.99160647895459031</v>
      </c>
      <c r="K18" s="104" cm="1">
        <f t="array" aca="1" ref="K18" ca="1">Cubic_SPline(CntrptyCreditCurveTenor,OwnCreditCurveVal,F18)</f>
        <v>5.750384540306186E-4</v>
      </c>
      <c r="L18" s="106">
        <f t="shared" ca="1" si="1"/>
        <v>0.99832421021544349</v>
      </c>
      <c r="M18" s="93"/>
      <c r="N18" s="93"/>
      <c r="O18" s="93"/>
      <c r="P18" s="93"/>
    </row>
    <row r="19" spans="2:16" ht="14.4" customHeight="1" x14ac:dyDescent="0.3">
      <c r="B19" s="84">
        <v>7</v>
      </c>
      <c r="C19" s="75">
        <f ca="1"/>
        <v>1.2E-2</v>
      </c>
      <c r="D19" s="76">
        <f ca="1"/>
        <v>3.5000000000000001E-3</v>
      </c>
      <c r="E19" s="93"/>
      <c r="F19" s="103">
        <v>2</v>
      </c>
      <c r="G19" s="104">
        <f ca="1"/>
        <v>3.368962053311414E-2</v>
      </c>
      <c r="H19" s="105">
        <f ca="1"/>
        <v>-1.9246875464401954E-2</v>
      </c>
      <c r="I19" s="104" cm="1">
        <f t="array" aca="1" ref="I19" ca="1">Cubic_SPline(CntrptyCreditCurveTenor,CntrptyCreditCurveVal,F19)</f>
        <v>3.2719115988584235E-3</v>
      </c>
      <c r="J19" s="105">
        <f t="shared" ca="1" si="0"/>
        <v>0.98915288685020042</v>
      </c>
      <c r="K19" s="104" cm="1">
        <f t="array" aca="1" ref="K19" ca="1">Cubic_SPline(CntrptyCreditCurveTenor,OwnCreditCurveVal,F19)</f>
        <v>6.127720043878071E-4</v>
      </c>
      <c r="L19" s="106">
        <f t="shared" ca="1" si="1"/>
        <v>0.99795951128540117</v>
      </c>
      <c r="M19" s="93"/>
      <c r="N19" s="93"/>
      <c r="O19" s="93"/>
      <c r="P19" s="93"/>
    </row>
    <row r="20" spans="2:16" ht="14.4" customHeight="1" x14ac:dyDescent="0.3">
      <c r="B20" s="84">
        <v>10</v>
      </c>
      <c r="C20" s="75">
        <f ca="1"/>
        <v>1.35E-2</v>
      </c>
      <c r="D20" s="76">
        <f ca="1"/>
        <v>4.4999999999999997E-3</v>
      </c>
      <c r="E20" s="93"/>
      <c r="F20" s="103">
        <v>2.25</v>
      </c>
      <c r="G20" s="104">
        <f ca="1"/>
        <v>3.4920007693856697E-2</v>
      </c>
      <c r="H20" s="105">
        <f ca="1"/>
        <v>-1.9432012915072624E-2</v>
      </c>
      <c r="I20" s="104" cm="1">
        <f t="array" aca="1" ref="I20" ca="1">Cubic_SPline(CntrptyCreditCurveTenor,CntrptyCreditCurveVal,F20)</f>
        <v>3.6699102377042436E-3</v>
      </c>
      <c r="J20" s="105">
        <f t="shared" ca="1" si="0"/>
        <v>0.98633210225067958</v>
      </c>
      <c r="K20" s="104" cm="1">
        <f t="array" aca="1" ref="K20" ca="1">Cubic_SPline(CntrptyCreditCurveTenor,OwnCreditCurveVal,F20)</f>
        <v>6.614090547145679E-4</v>
      </c>
      <c r="L20" s="106">
        <f t="shared" ca="1" si="1"/>
        <v>0.99752278940760697</v>
      </c>
      <c r="M20" s="93"/>
      <c r="N20" s="93"/>
      <c r="O20" s="93"/>
      <c r="P20" s="93"/>
    </row>
    <row r="21" spans="2:16" ht="14.4" customHeight="1" thickBot="1" x14ac:dyDescent="0.35">
      <c r="B21" s="88">
        <v>20</v>
      </c>
      <c r="C21" s="89">
        <f ca="1"/>
        <v>1.4200000000000001E-2</v>
      </c>
      <c r="D21" s="90">
        <f ca="1"/>
        <v>4.8999999999999998E-3</v>
      </c>
      <c r="E21" s="93"/>
      <c r="F21" s="103">
        <v>2.5</v>
      </c>
      <c r="G21" s="104">
        <f ca="1"/>
        <v>3.5885995140046804E-2</v>
      </c>
      <c r="H21" s="105">
        <f ca="1"/>
        <v>-1.951094999437596E-2</v>
      </c>
      <c r="I21" s="104" cm="1">
        <f t="array" aca="1" ref="I21" ca="1">Cubic_SPline(CntrptyCreditCurveTenor,CntrptyCreditCurveVal,F21)</f>
        <v>4.0879226198740071E-3</v>
      </c>
      <c r="J21" s="105">
        <f t="shared" ca="1" si="0"/>
        <v>0.98311123069685102</v>
      </c>
      <c r="K21" s="104" cm="1">
        <f t="array" aca="1" ref="K21" ca="1">Cubic_SPline(CntrptyCreditCurveTenor,OwnCreditCurveVal,F21)</f>
        <v>7.236754945552093E-4</v>
      </c>
      <c r="L21" s="106">
        <f t="shared" ca="1" si="1"/>
        <v>0.99698922693447756</v>
      </c>
      <c r="M21" s="93"/>
      <c r="N21" s="93"/>
      <c r="O21" s="93"/>
      <c r="P21" s="93"/>
    </row>
    <row r="22" spans="2:16" ht="14.4" customHeight="1" thickBot="1" x14ac:dyDescent="0.35">
      <c r="B22" s="93"/>
      <c r="C22" s="93"/>
      <c r="D22" s="93"/>
      <c r="E22" s="93"/>
      <c r="F22" s="103">
        <v>2.75</v>
      </c>
      <c r="G22" s="104">
        <f ca="1"/>
        <v>3.6614364919674583E-2</v>
      </c>
      <c r="H22" s="105">
        <f ca="1"/>
        <v>-1.949850814556265E-2</v>
      </c>
      <c r="I22" s="104" cm="1">
        <f t="array" aca="1" ref="I22" ca="1">Cubic_SPline(CntrptyCreditCurveTenor,CntrptyCreditCurveVal,F22)</f>
        <v>4.5299515929855261E-3</v>
      </c>
      <c r="J22" s="105">
        <f t="shared" ca="1" si="0"/>
        <v>0.97945177399928296</v>
      </c>
      <c r="K22" s="104" cm="1">
        <f t="array" aca="1" ref="K22" ca="1">Cubic_SPline(CntrptyCreditCurveTenor,OwnCreditCurveVal,F22)</f>
        <v>8.0229717707425152E-4</v>
      </c>
      <c r="L22" s="106">
        <f t="shared" ca="1" si="1"/>
        <v>0.99632955720864602</v>
      </c>
      <c r="M22" s="93"/>
      <c r="N22" s="93"/>
      <c r="O22" s="93"/>
      <c r="P22" s="93"/>
    </row>
    <row r="23" spans="2:16" ht="14.4" customHeight="1" thickBot="1" x14ac:dyDescent="0.35">
      <c r="B23" s="151" t="s">
        <v>25</v>
      </c>
      <c r="C23" s="152"/>
      <c r="D23" s="93"/>
      <c r="E23" s="93"/>
      <c r="F23" s="103">
        <v>3</v>
      </c>
      <c r="G23" s="104">
        <f ca="1"/>
        <v>3.7129808399172744E-2</v>
      </c>
      <c r="H23" s="105">
        <f ca="1"/>
        <v>-1.9404353798688996E-2</v>
      </c>
      <c r="I23" s="104" cm="1">
        <f t="array" aca="1" ref="I23" ca="1">Cubic_SPline(CntrptyCreditCurveTenor,CntrptyCreditCurveVal,F23)</f>
        <v>4.999999888241291E-3</v>
      </c>
      <c r="J23" s="105">
        <f t="shared" ca="1" si="0"/>
        <v>0.97530991257332955</v>
      </c>
      <c r="K23" s="104" cm="1">
        <f t="array" aca="1" ref="K23" ca="1">Cubic_SPline(CntrptyCreditCurveTenor,OwnCreditCurveVal,F23)</f>
        <v>8.9999998454004526E-4</v>
      </c>
      <c r="L23" s="106">
        <f t="shared" ca="1" si="1"/>
        <v>0.99551010990652333</v>
      </c>
      <c r="M23" s="93"/>
      <c r="N23" s="93"/>
      <c r="O23" s="93"/>
      <c r="P23" s="93"/>
    </row>
    <row r="24" spans="2:16" ht="14.4" customHeight="1" x14ac:dyDescent="0.3">
      <c r="B24" s="111" t="s">
        <v>37</v>
      </c>
      <c r="C24" s="112">
        <f ca="1">-(SUMPRODUCT(G11:G50,J11:J50)-SUMPRODUCT(G11:G50,J12:J51))*10000*CntprtyLGD</f>
        <v>-32.290030844074998</v>
      </c>
      <c r="D24" s="93"/>
      <c r="E24" s="93"/>
      <c r="F24" s="103">
        <v>3.25</v>
      </c>
      <c r="G24" s="104">
        <f ca="1"/>
        <v>3.7454416131989431E-2</v>
      </c>
      <c r="H24" s="105">
        <f ca="1"/>
        <v>-1.9235166302504297E-2</v>
      </c>
      <c r="I24" s="104" cm="1">
        <f t="array" aca="1" ref="I24" ca="1">Cubic_SPline(CntrptyCreditCurveTenor,CntrptyCreditCurveVal,F24)</f>
        <v>5.5000207430566661E-3</v>
      </c>
      <c r="J24" s="105">
        <f t="shared" ca="1" si="0"/>
        <v>0.97064762170256058</v>
      </c>
      <c r="K24" s="104" cm="1">
        <f t="array" aca="1" ref="K24" ca="1">Cubic_SPline(CntrptyCreditCurveTenor,OwnCreditCurveVal,F24)</f>
        <v>1.0185417449832812E-3</v>
      </c>
      <c r="L24" s="106">
        <f t="shared" ca="1" si="1"/>
        <v>0.99449809013365265</v>
      </c>
      <c r="M24" s="93"/>
      <c r="N24" s="93"/>
      <c r="O24" s="93"/>
      <c r="P24" s="93"/>
    </row>
    <row r="25" spans="2:16" ht="14.4" customHeight="1" x14ac:dyDescent="0.3">
      <c r="B25" s="101" t="s">
        <v>38</v>
      </c>
      <c r="C25" s="113">
        <f ca="1">-(SUMPRODUCT(H11:H50,L11:L50)-SUMPRODUCT(H11:H50,L12:L51))*10000*OwnLGD</f>
        <v>5.2313659950466995</v>
      </c>
      <c r="D25" s="93"/>
      <c r="E25" s="93"/>
      <c r="F25" s="103">
        <v>3.5</v>
      </c>
      <c r="G25" s="104">
        <f ca="1"/>
        <v>3.7602550919596189E-2</v>
      </c>
      <c r="H25" s="105">
        <f ca="1"/>
        <v>-1.8998938185748687E-2</v>
      </c>
      <c r="I25" s="104" cm="1">
        <f t="array" aca="1" ref="I25" ca="1">Cubic_SPline(CntrptyCreditCurveTenor,CntrptyCreditCurveVal,F25)</f>
        <v>6.0237684010644443E-3</v>
      </c>
      <c r="J25" s="105">
        <f t="shared" ca="1" si="0"/>
        <v>0.96547154530696366</v>
      </c>
      <c r="K25" s="104" cm="1">
        <f t="array" aca="1" ref="K25" ca="1">Cubic_SPline(CntrptyCreditCurveTenor,OwnCreditCurveVal,F25)</f>
        <v>1.1558080058193809E-3</v>
      </c>
      <c r="L25" s="106">
        <f t="shared" ca="1" si="1"/>
        <v>0.99328046435862061</v>
      </c>
      <c r="M25" s="93"/>
      <c r="N25" s="93"/>
      <c r="O25" s="93"/>
      <c r="P25" s="93"/>
    </row>
    <row r="26" spans="2:16" ht="14.4" customHeight="1" x14ac:dyDescent="0.3">
      <c r="B26" s="114" t="s">
        <v>39</v>
      </c>
      <c r="C26" s="115">
        <f ca="1">C25+C24</f>
        <v>-27.058664849028297</v>
      </c>
      <c r="D26" s="93"/>
      <c r="E26" s="93"/>
      <c r="F26" s="103">
        <v>3.75</v>
      </c>
      <c r="G26" s="104">
        <f ca="1"/>
        <v>3.7584432717914298E-2</v>
      </c>
      <c r="H26" s="105">
        <f ca="1"/>
        <v>-1.8703447436609292E-2</v>
      </c>
      <c r="I26" s="104" cm="1">
        <f t="array" aca="1" ref="I26" ca="1">Cubic_SPline(CntrptyCreditCurveTenor,CntrptyCreditCurveVal,F26)</f>
        <v>6.5629480486677494E-3</v>
      </c>
      <c r="J26" s="105">
        <f t="shared" ca="1" si="0"/>
        <v>0.95981144496705117</v>
      </c>
      <c r="K26" s="104" cm="1">
        <f t="array" aca="1" ref="K26" ca="1">Cubic_SPline(CntrptyCreditCurveTenor,OwnCreditCurveVal,F26)</f>
        <v>1.3087162092944027E-3</v>
      </c>
      <c r="L26" s="106">
        <f t="shared" ca="1" si="1"/>
        <v>0.99185388458806201</v>
      </c>
      <c r="M26" s="93"/>
      <c r="N26" s="93"/>
      <c r="O26" s="93"/>
      <c r="P26" s="93"/>
    </row>
    <row r="27" spans="2:16" ht="14.4" customHeight="1" x14ac:dyDescent="0.3">
      <c r="B27" s="101" t="s">
        <v>14</v>
      </c>
      <c r="C27" s="113">
        <f ca="1">-(SUMPRODUCT(G11:G50,J11:J50,L11:L50)-SUMPRODUCT(G11:G50,J12:J51,L11:L50))*10000*CntprtyLGD</f>
        <v>-31.582309488140446</v>
      </c>
      <c r="D27" s="93"/>
      <c r="E27" s="93"/>
      <c r="F27" s="103">
        <v>4</v>
      </c>
      <c r="G27" s="104">
        <f ca="1"/>
        <v>3.7407862924174744E-2</v>
      </c>
      <c r="H27" s="105">
        <f ca="1"/>
        <v>-1.8355752142803959E-2</v>
      </c>
      <c r="I27" s="104" cm="1">
        <f t="array" aca="1" ref="I27" ca="1">Cubic_SPline(CntrptyCreditCurveTenor,CntrptyCreditCurveVal,F27)</f>
        <v>7.1092648722697049E-3</v>
      </c>
      <c r="J27" s="105">
        <f t="shared" ca="1" si="0"/>
        <v>0.95371051293032916</v>
      </c>
      <c r="K27" s="104" cm="1">
        <f t="array" aca="1" ref="K27" ca="1">Cubic_SPline(CntrptyCreditCurveTenor,OwnCreditCurveVal,F27)</f>
        <v>1.4741839722773875E-3</v>
      </c>
      <c r="L27" s="106">
        <f t="shared" ca="1" si="1"/>
        <v>0.99022024277272658</v>
      </c>
      <c r="M27" s="93"/>
      <c r="N27" s="93"/>
      <c r="O27" s="93"/>
      <c r="P27" s="93"/>
    </row>
    <row r="28" spans="2:16" ht="14.4" customHeight="1" x14ac:dyDescent="0.3">
      <c r="B28" s="101" t="s">
        <v>17</v>
      </c>
      <c r="C28" s="113">
        <f ca="1">-(SUMPRODUCT(H11:H50,L11:L50,J11:J50)-SUMPRODUCT(H11:H50,L12:L51,J11:J50))*10000*OwnLGD</f>
        <v>4.7578499630946958</v>
      </c>
      <c r="D28" s="93"/>
      <c r="E28" s="93"/>
      <c r="F28" s="103">
        <v>4.25</v>
      </c>
      <c r="G28" s="104">
        <f ca="1"/>
        <v>3.7078514573501219E-2</v>
      </c>
      <c r="H28" s="105">
        <f ca="1"/>
        <v>-1.7962433887088562E-2</v>
      </c>
      <c r="I28" s="104" cm="1">
        <f t="array" aca="1" ref="I28" ca="1">Cubic_SPline(CntrptyCreditCurveTenor,CntrptyCreditCurveVal,F28)</f>
        <v>7.6544234761968255E-3</v>
      </c>
      <c r="J28" s="105">
        <f t="shared" ca="1" si="0"/>
        <v>0.94722479981654439</v>
      </c>
      <c r="K28" s="104" cm="1">
        <f t="array" aca="1" ref="K28" ca="1">Cubic_SPline(CntrptyCreditCurveTenor,OwnCreditCurveVal,F28)</f>
        <v>1.6491287370143937E-3</v>
      </c>
      <c r="L28" s="106">
        <f t="shared" ca="1" si="1"/>
        <v>0.98838663327897358</v>
      </c>
      <c r="M28" s="93"/>
      <c r="N28" s="93"/>
      <c r="O28" s="93"/>
      <c r="P28" s="93"/>
    </row>
    <row r="29" spans="2:16" ht="14.4" customHeight="1" thickBot="1" x14ac:dyDescent="0.35">
      <c r="B29" s="108" t="s">
        <v>16</v>
      </c>
      <c r="C29" s="116">
        <f ca="1">C27+C28</f>
        <v>-26.82445952504575</v>
      </c>
      <c r="D29" s="93"/>
      <c r="E29" s="93"/>
      <c r="F29" s="103">
        <v>4.5</v>
      </c>
      <c r="G29" s="104">
        <f ca="1"/>
        <v>3.6600141494169292E-2</v>
      </c>
      <c r="H29" s="105">
        <f ca="1"/>
        <v>-1.7529787714167695E-2</v>
      </c>
      <c r="I29" s="104" cm="1">
        <f t="array" aca="1" ref="I29" ca="1">Cubic_SPline(CntrptyCreditCurveTenor,CntrptyCreditCurveVal,F29)</f>
        <v>8.1901289304369129E-3</v>
      </c>
      <c r="J29" s="105">
        <f t="shared" ca="1" si="0"/>
        <v>0.94042256548653635</v>
      </c>
      <c r="K29" s="104" cm="1">
        <f t="array" aca="1" ref="K29" ca="1">Cubic_SPline(CntrptyCreditCurveTenor,OwnCreditCurveVal,F29)</f>
        <v>1.8304679748553099E-3</v>
      </c>
      <c r="L29" s="106">
        <f t="shared" ca="1" si="1"/>
        <v>0.98636529641551385</v>
      </c>
      <c r="M29" s="93"/>
      <c r="N29" s="93"/>
      <c r="O29" s="93"/>
      <c r="P29" s="93"/>
    </row>
    <row r="30" spans="2:16" ht="14.4" customHeight="1" x14ac:dyDescent="0.3">
      <c r="B30" s="93"/>
      <c r="C30" s="93"/>
      <c r="D30" s="93"/>
      <c r="E30" s="93"/>
      <c r="F30" s="103">
        <v>4.75</v>
      </c>
      <c r="G30" s="104">
        <f ca="1"/>
        <v>3.597475112265875E-2</v>
      </c>
      <c r="H30" s="105">
        <f ca="1"/>
        <v>-1.7063966122564736E-2</v>
      </c>
      <c r="I30" s="104" cm="1">
        <f t="array" aca="1" ref="I30" ca="1">Cubic_SPline(CntrptyCreditCurveTenor,CntrptyCreditCurveVal,F30)</f>
        <v>8.7080861885624472E-3</v>
      </c>
      <c r="J30" s="105">
        <f t="shared" ca="1" si="0"/>
        <v>0.93338360012589983</v>
      </c>
      <c r="K30" s="104" cm="1">
        <f t="array" aca="1" ref="K30" ca="1">Cubic_SPline(CntrptyCreditCurveTenor,OwnCreditCurveVal,F30)</f>
        <v>2.015119229909601E-3</v>
      </c>
      <c r="L30" s="106">
        <f t="shared" ca="1" si="1"/>
        <v>0.98417354832059034</v>
      </c>
      <c r="M30" s="93"/>
      <c r="N30" s="93"/>
      <c r="O30" s="93"/>
      <c r="P30" s="93"/>
    </row>
    <row r="31" spans="2:16" ht="14.4" customHeight="1" x14ac:dyDescent="0.3">
      <c r="B31" s="93"/>
      <c r="C31" s="93"/>
      <c r="D31" s="93"/>
      <c r="E31" s="93"/>
      <c r="F31" s="103">
        <v>5</v>
      </c>
      <c r="G31" s="104">
        <f ca="1"/>
        <v>3.5202760095650779E-2</v>
      </c>
      <c r="H31" s="105">
        <f ca="1"/>
        <v>-1.6571090946772341E-2</v>
      </c>
      <c r="I31" s="104" cm="1">
        <f t="array" aca="1" ref="I31" ca="1">Cubic_SPline(CntrptyCreditCurveTenor,CntrptyCreditCurveVal,F31)</f>
        <v>9.2000002041459084E-3</v>
      </c>
      <c r="J31" s="105">
        <f t="shared" ca="1" si="0"/>
        <v>0.92619853342607494</v>
      </c>
      <c r="K31" s="104" cm="1">
        <f t="array" aca="1" ref="K31" ca="1">Cubic_SPline(CntrptyCreditCurveTenor,OwnCreditCurveVal,F31)</f>
        <v>2.199999988079071E-3</v>
      </c>
      <c r="L31" s="106">
        <f t="shared" ca="1" si="1"/>
        <v>0.98183370000349057</v>
      </c>
      <c r="M31" s="93"/>
      <c r="N31" s="93"/>
      <c r="O31" s="93"/>
      <c r="P31" s="93"/>
    </row>
    <row r="32" spans="2:16" ht="14.4" customHeight="1" x14ac:dyDescent="0.3">
      <c r="B32" s="93"/>
      <c r="C32" s="93"/>
      <c r="D32" s="93"/>
      <c r="E32" s="93"/>
      <c r="F32" s="103">
        <v>5.25</v>
      </c>
      <c r="G32" s="104">
        <f ca="1"/>
        <v>3.4284848144556894E-2</v>
      </c>
      <c r="H32" s="105">
        <f ca="1"/>
        <v>-1.6056351712221442E-2</v>
      </c>
      <c r="I32" s="104" cm="1">
        <f t="array" aca="1" ref="I32" ca="1">Cubic_SPline(CntrptyCreditCurveTenor,CntrptyCreditCurveVal,F32)</f>
        <v>9.6591339431597589E-3</v>
      </c>
      <c r="J32" s="105">
        <f t="shared" ca="1" si="0"/>
        <v>0.91895564518968353</v>
      </c>
      <c r="K32" s="104" cm="1">
        <f t="array" aca="1" ref="K32" ca="1">Cubic_SPline(CntrptyCreditCurveTenor,OwnCreditCurveVal,F32)</f>
        <v>2.3823843745987006E-3</v>
      </c>
      <c r="L32" s="106">
        <f t="shared" ca="1" si="1"/>
        <v>0.97936990980383754</v>
      </c>
      <c r="M32" s="93"/>
      <c r="N32" s="93"/>
      <c r="O32" s="93"/>
      <c r="P32" s="93"/>
    </row>
    <row r="33" spans="2:16" ht="14.4" customHeight="1" x14ac:dyDescent="0.3">
      <c r="B33" s="93"/>
      <c r="C33" s="93"/>
      <c r="D33" s="93"/>
      <c r="E33" s="93"/>
      <c r="F33" s="103">
        <v>5.5</v>
      </c>
      <c r="G33" s="104">
        <f ca="1"/>
        <v>3.3227846755956629E-2</v>
      </c>
      <c r="H33" s="105">
        <f ca="1"/>
        <v>-1.5520743604722106E-2</v>
      </c>
      <c r="I33" s="104" cm="1">
        <f t="array" aca="1" ref="I33" ca="1">Cubic_SPline(CntrptyCreditCurveTenor,CntrptyCreditCurveVal,F33)</f>
        <v>1.0084981809995952E-2</v>
      </c>
      <c r="J33" s="105">
        <f t="shared" ca="1" si="0"/>
        <v>0.91169874531900463</v>
      </c>
      <c r="K33" s="104" cm="1">
        <f t="array" aca="1" ref="K33" ca="1">Cubic_SPline(CntrptyCreditCurveTenor,OwnCreditCurveVal,F33)</f>
        <v>2.5609730138285158E-3</v>
      </c>
      <c r="L33" s="106">
        <f t="shared" ca="1" si="1"/>
        <v>0.97679782195874298</v>
      </c>
      <c r="M33" s="93"/>
      <c r="N33" s="93"/>
      <c r="O33" s="93"/>
      <c r="P33" s="93"/>
    </row>
    <row r="34" spans="2:16" ht="14.4" customHeight="1" x14ac:dyDescent="0.3">
      <c r="B34" s="93"/>
      <c r="C34" s="93"/>
      <c r="D34" s="93"/>
      <c r="E34" s="93"/>
      <c r="F34" s="103">
        <v>5.75</v>
      </c>
      <c r="G34" s="104">
        <f ca="1"/>
        <v>3.2040714145330704E-2</v>
      </c>
      <c r="H34" s="105">
        <f ca="1"/>
        <v>-1.4963541622401469E-2</v>
      </c>
      <c r="I34" s="104" cm="1">
        <f t="array" aca="1" ref="I34" ca="1">Cubic_SPline(CntrptyCreditCurveTenor,CntrptyCreditCurveVal,F34)</f>
        <v>1.0478595755785136E-2</v>
      </c>
      <c r="J34" s="105">
        <f t="shared" ca="1" si="0"/>
        <v>0.9044575782749904</v>
      </c>
      <c r="K34" s="104" cm="1">
        <f t="array" aca="1" ref="K34" ca="1">Cubic_SPline(CntrptyCreditCurveTenor,OwnCreditCurveVal,F34)</f>
        <v>2.7348231549098045E-3</v>
      </c>
      <c r="L34" s="106">
        <f t="shared" ca="1" si="1"/>
        <v>0.97413174575831762</v>
      </c>
      <c r="M34" s="93"/>
      <c r="N34" s="93"/>
      <c r="O34" s="93"/>
      <c r="P34" s="93"/>
    </row>
    <row r="35" spans="2:16" ht="14.4" customHeight="1" x14ac:dyDescent="0.3">
      <c r="B35" s="93"/>
      <c r="C35" s="93"/>
      <c r="D35" s="93"/>
      <c r="E35" s="93"/>
      <c r="F35" s="103">
        <v>6</v>
      </c>
      <c r="G35" s="104">
        <f ca="1"/>
        <v>3.0732966674020555E-2</v>
      </c>
      <c r="H35" s="105">
        <f ca="1"/>
        <v>-1.4383266888847323E-2</v>
      </c>
      <c r="I35" s="104" cm="1">
        <f t="array" aca="1" ref="I35" ca="1">Cubic_SPline(CntrptyCreditCurveTenor,CntrptyCreditCurveVal,F35)</f>
        <v>1.0841029128641821E-2</v>
      </c>
      <c r="J35" s="105">
        <f t="shared" ca="1" si="0"/>
        <v>0.89725938319167808</v>
      </c>
      <c r="K35" s="104" cm="1">
        <f t="array" aca="1" ref="K35" ca="1">Cubic_SPline(CntrptyCreditCurveTenor,OwnCreditCurveVal,F35)</f>
        <v>2.9029920469838544E-3</v>
      </c>
      <c r="L35" s="106">
        <f t="shared" ca="1" si="1"/>
        <v>0.97138739966439758</v>
      </c>
      <c r="M35" s="93"/>
      <c r="N35" s="93"/>
      <c r="O35" s="93"/>
      <c r="P35" s="93"/>
    </row>
    <row r="36" spans="2:16" ht="14.4" customHeight="1" x14ac:dyDescent="0.3">
      <c r="B36" s="93"/>
      <c r="C36" s="93"/>
      <c r="D36" s="93"/>
      <c r="E36" s="93"/>
      <c r="F36" s="103">
        <v>6.25</v>
      </c>
      <c r="G36" s="104">
        <f ca="1"/>
        <v>2.931468553943312E-2</v>
      </c>
      <c r="H36" s="105">
        <f ca="1"/>
        <v>-1.3777705058897492E-2</v>
      </c>
      <c r="I36" s="104" cm="1">
        <f t="array" aca="1" ref="I36" ca="1">Cubic_SPline(CntrptyCreditCurveTenor,CntrptyCreditCurveVal,F36)</f>
        <v>1.1173333879696656E-2</v>
      </c>
      <c r="J36" s="105">
        <f t="shared" ca="1" si="0"/>
        <v>0.89012898963791387</v>
      </c>
      <c r="K36" s="104" cm="1">
        <f t="array" aca="1" ref="K36" ca="1">Cubic_SPline(CntrptyCreditCurveTenor,OwnCreditCurveVal,F36)</f>
        <v>3.064536939191953E-3</v>
      </c>
      <c r="L36" s="106">
        <f t="shared" ca="1" si="1"/>
        <v>0.96858187691749331</v>
      </c>
      <c r="M36" s="93"/>
      <c r="N36" s="93"/>
      <c r="O36" s="93"/>
      <c r="P36" s="93"/>
    </row>
    <row r="37" spans="2:16" ht="14.4" customHeight="1" x14ac:dyDescent="0.3">
      <c r="B37" s="93"/>
      <c r="C37" s="93"/>
      <c r="D37" s="93"/>
      <c r="E37" s="93"/>
      <c r="F37" s="103">
        <v>6.5</v>
      </c>
      <c r="G37" s="104">
        <f ca="1"/>
        <v>2.7796482596982967E-2</v>
      </c>
      <c r="H37" s="105">
        <f ca="1"/>
        <v>-1.3143929694311232E-2</v>
      </c>
      <c r="I37" s="104" cm="1">
        <f t="array" aca="1" ref="I37" ca="1">Cubic_SPline(CntrptyCreditCurveTenor,CntrptyCreditCurveVal,F37)</f>
        <v>1.1476562192910933E-2</v>
      </c>
      <c r="J37" s="105">
        <f t="shared" ca="1" si="0"/>
        <v>0.88308888250405215</v>
      </c>
      <c r="K37" s="104" cm="1">
        <f t="array" aca="1" ref="K37" ca="1">Cubic_SPline(CntrptyCreditCurveTenor,OwnCreditCurveVal,F37)</f>
        <v>3.2185150806753882E-3</v>
      </c>
      <c r="L37" s="106">
        <f t="shared" ca="1" si="1"/>
        <v>0.96573361206502695</v>
      </c>
      <c r="M37" s="93"/>
      <c r="N37" s="93"/>
      <c r="O37" s="93"/>
      <c r="P37" s="93"/>
    </row>
    <row r="38" spans="2:16" ht="14.4" customHeight="1" x14ac:dyDescent="0.3">
      <c r="B38" s="93"/>
      <c r="C38" s="93"/>
      <c r="D38" s="93"/>
      <c r="E38" s="93"/>
      <c r="F38" s="103">
        <v>6.75</v>
      </c>
      <c r="G38" s="104">
        <f ca="1"/>
        <v>2.6189464429538779E-2</v>
      </c>
      <c r="H38" s="105">
        <f ca="1"/>
        <v>-1.2478312050046549E-2</v>
      </c>
      <c r="I38" s="104" cm="1">
        <f t="array" aca="1" ref="I38" ca="1">Cubic_SPline(CntrptyCreditCurveTenor,CntrptyCreditCurveVal,F38)</f>
        <v>1.1751766834322552E-2</v>
      </c>
      <c r="J38" s="105">
        <f t="shared" ca="1" si="0"/>
        <v>0.87615928105492225</v>
      </c>
      <c r="K38" s="104" cm="1">
        <f t="array" aca="1" ref="K38" ca="1">Cubic_SPline(CntrptyCreditCurveTenor,OwnCreditCurveVal,F38)</f>
        <v>3.3639837205754475E-3</v>
      </c>
      <c r="L38" s="106">
        <f t="shared" ca="1" si="1"/>
        <v>0.9628623493042141</v>
      </c>
      <c r="M38" s="93"/>
      <c r="N38" s="93"/>
      <c r="O38" s="93"/>
      <c r="P38" s="93"/>
    </row>
    <row r="39" spans="2:16" ht="14.4" customHeight="1" x14ac:dyDescent="0.3">
      <c r="B39" s="93"/>
      <c r="C39" s="93"/>
      <c r="D39" s="93"/>
      <c r="E39" s="93"/>
      <c r="F39" s="103">
        <v>7</v>
      </c>
      <c r="G39" s="104">
        <f ca="1"/>
        <v>2.4505201306794816E-2</v>
      </c>
      <c r="H39" s="105">
        <f ca="1"/>
        <v>-1.1776518096509337E-2</v>
      </c>
      <c r="I39" s="104" cm="1">
        <f t="array" aca="1" ref="I39" ca="1">Cubic_SPline(CntrptyCreditCurveTenor,CntrptyCreditCurveVal,F39)</f>
        <v>1.2000000104308128E-2</v>
      </c>
      <c r="J39" s="105">
        <f t="shared" ca="1" si="0"/>
        <v>0.86935823434085924</v>
      </c>
      <c r="K39" s="104" cm="1">
        <f t="array" aca="1" ref="K39" ca="1">Cubic_SPline(CntrptyCreditCurveTenor,OwnCreditCurveVal,F39)</f>
        <v>3.5000001080334187E-3</v>
      </c>
      <c r="L39" s="106">
        <f t="shared" ca="1" si="1"/>
        <v>0.9599891135911971</v>
      </c>
      <c r="M39" s="93"/>
      <c r="N39" s="93"/>
      <c r="O39" s="93"/>
      <c r="P39" s="93"/>
    </row>
    <row r="40" spans="2:16" ht="14.4" customHeight="1" x14ac:dyDescent="0.3">
      <c r="B40" s="93"/>
      <c r="C40" s="93"/>
      <c r="D40" s="93"/>
      <c r="E40" s="93"/>
      <c r="F40" s="103">
        <v>7.25</v>
      </c>
      <c r="G40" s="104">
        <f ca="1"/>
        <v>2.2754316375678336E-2</v>
      </c>
      <c r="H40" s="105">
        <f ca="1"/>
        <v>-1.1034339549057262E-2</v>
      </c>
      <c r="I40" s="104" cm="1">
        <f t="array" aca="1" ref="I40" ca="1">Cubic_SPline(CntrptyCreditCurveTenor,CntrptyCreditCurveVal,F40)</f>
        <v>1.2222454228331557E-2</v>
      </c>
      <c r="J40" s="105">
        <f t="shared" ca="1" si="0"/>
        <v>0.8627002452719118</v>
      </c>
      <c r="K40" s="104" cm="1">
        <f t="array" aca="1" ref="K40" ca="1">Cubic_SPline(CntrptyCreditCurveTenor,OwnCreditCurveVal,F40)</f>
        <v>3.6258808420683744E-3</v>
      </c>
      <c r="L40" s="106">
        <f t="shared" ca="1" si="1"/>
        <v>0.95713318604487563</v>
      </c>
      <c r="M40" s="93"/>
      <c r="N40" s="93"/>
      <c r="O40" s="93"/>
      <c r="P40" s="93"/>
    </row>
    <row r="41" spans="2:16" ht="14.4" customHeight="1" x14ac:dyDescent="0.3">
      <c r="B41" s="93"/>
      <c r="C41" s="93"/>
      <c r="D41" s="93"/>
      <c r="E41" s="93"/>
      <c r="F41" s="103">
        <v>7.5</v>
      </c>
      <c r="G41" s="104">
        <f ca="1"/>
        <v>2.0942093753471273E-2</v>
      </c>
      <c r="H41" s="105">
        <f ca="1"/>
        <v>-1.0250398505075142E-2</v>
      </c>
      <c r="I41" s="104" cm="1">
        <f t="array" aca="1" ref="I41" ca="1">Cubic_SPline(CntrptyCreditCurveTenor,CntrptyCreditCurveVal,F41)</f>
        <v>1.2420881755259032E-2</v>
      </c>
      <c r="J41" s="105">
        <f t="shared" ca="1" si="0"/>
        <v>0.85619166350420473</v>
      </c>
      <c r="K41" s="104" cm="1">
        <f t="array" aca="1" ref="K41" ca="1">Cubic_SPline(CntrptyCreditCurveTenor,OwnCreditCurveVal,F41)</f>
        <v>3.7419802315411953E-3</v>
      </c>
      <c r="L41" s="106">
        <f t="shared" ca="1" si="1"/>
        <v>0.95430232722052655</v>
      </c>
      <c r="M41" s="93"/>
      <c r="N41" s="93"/>
      <c r="O41" s="93"/>
      <c r="P41" s="93"/>
    </row>
    <row r="42" spans="2:16" ht="14.4" customHeight="1" x14ac:dyDescent="0.3">
      <c r="B42" s="93"/>
      <c r="C42" s="93"/>
      <c r="D42" s="93"/>
      <c r="E42" s="93"/>
      <c r="F42" s="103">
        <v>7.75</v>
      </c>
      <c r="G42" s="104">
        <f ca="1"/>
        <v>1.9072020695157895E-2</v>
      </c>
      <c r="H42" s="105">
        <f ca="1"/>
        <v>-9.4241045186740559E-3</v>
      </c>
      <c r="I42" s="104" cm="1">
        <f t="array" aca="1" ref="I42" ca="1">Cubic_SPline(CntrptyCreditCurveTenor,CntrptyCreditCurveVal,F42)</f>
        <v>1.2597174895091712E-2</v>
      </c>
      <c r="J42" s="105">
        <f t="shared" ca="1" si="0"/>
        <v>0.84983462346071681</v>
      </c>
      <c r="K42" s="104" cm="1">
        <f t="array" aca="1" ref="K42" ca="1">Cubic_SPline(CntrptyCreditCurveTenor,OwnCreditCurveVal,F42)</f>
        <v>3.8489121088502998E-3</v>
      </c>
      <c r="L42" s="106">
        <f t="shared" ca="1" si="1"/>
        <v>0.95150045434765407</v>
      </c>
      <c r="M42" s="93"/>
      <c r="N42" s="93"/>
      <c r="O42" s="93"/>
      <c r="P42" s="93"/>
    </row>
    <row r="43" spans="2:16" ht="14.4" customHeight="1" x14ac:dyDescent="0.3">
      <c r="B43" s="93"/>
      <c r="C43" s="93"/>
      <c r="D43" s="93"/>
      <c r="E43" s="93"/>
      <c r="F43" s="103">
        <v>8</v>
      </c>
      <c r="G43" s="104">
        <f ca="1"/>
        <v>1.7147128144962585E-2</v>
      </c>
      <c r="H43" s="105">
        <f ca="1"/>
        <v>-8.5548794093925906E-3</v>
      </c>
      <c r="I43" s="104" cm="1">
        <f t="array" aca="1" ref="I43" ca="1">Cubic_SPline(CntrptyCreditCurveTenor,CntrptyCreditCurveVal,F43)</f>
        <v>1.2753226940552545E-2</v>
      </c>
      <c r="J43" s="105">
        <f t="shared" ca="1" si="0"/>
        <v>0.84362851796115379</v>
      </c>
      <c r="K43" s="104" cm="1">
        <f t="array" aca="1" ref="K43" ca="1">Cubic_SPline(CntrptyCreditCurveTenor,OwnCreditCurveVal,F43)</f>
        <v>3.9472896686220411E-3</v>
      </c>
      <c r="L43" s="106">
        <f t="shared" ca="1" si="1"/>
        <v>0.94873047621366047</v>
      </c>
      <c r="M43" s="93"/>
      <c r="N43" s="93"/>
      <c r="O43" s="93"/>
      <c r="P43" s="93"/>
    </row>
    <row r="44" spans="2:16" ht="14.4" customHeight="1" x14ac:dyDescent="0.3">
      <c r="B44" s="93"/>
      <c r="C44" s="93"/>
      <c r="D44" s="93"/>
      <c r="E44" s="93"/>
      <c r="F44" s="103">
        <v>8.25</v>
      </c>
      <c r="G44" s="104">
        <f ca="1"/>
        <v>1.5170013448047484E-2</v>
      </c>
      <c r="H44" s="105">
        <f ca="1"/>
        <v>-7.6421668838096545E-3</v>
      </c>
      <c r="I44" s="104" cm="1">
        <f t="array" aca="1" ref="I44" ca="1">Cubic_SPline(CntrptyCreditCurveTenor,CntrptyCreditCurveVal,F44)</f>
        <v>1.2890927869119443E-2</v>
      </c>
      <c r="J44" s="105">
        <f t="shared" ca="1" si="0"/>
        <v>0.83757014949433073</v>
      </c>
      <c r="K44" s="104" cm="1">
        <f t="array" aca="1" ref="K44" ca="1">Cubic_SPline(CntrptyCreditCurveTenor,OwnCreditCurveVal,F44)</f>
        <v>4.0377267816694481E-3</v>
      </c>
      <c r="L44" s="106">
        <f t="shared" ca="1" si="1"/>
        <v>0.94599429249867706</v>
      </c>
      <c r="M44" s="93"/>
      <c r="N44" s="93"/>
      <c r="O44" s="93"/>
      <c r="P44" s="93"/>
    </row>
    <row r="45" spans="2:16" ht="14.4" customHeight="1" x14ac:dyDescent="0.3">
      <c r="B45" s="93"/>
      <c r="C45" s="93"/>
      <c r="D45" s="93"/>
      <c r="E45" s="93"/>
      <c r="F45" s="103">
        <v>8.5</v>
      </c>
      <c r="G45" s="104">
        <f ca="1"/>
        <v>1.3142819471914128E-2</v>
      </c>
      <c r="H45" s="105">
        <f ca="1"/>
        <v>-6.6854679701110762E-3</v>
      </c>
      <c r="I45" s="104" cm="1">
        <f t="array" aca="1" ref="I45" ca="1">Cubic_SPline(CntrptyCreditCurveTenor,CntrptyCreditCurveVal,F45)</f>
        <v>1.301217230252405E-2</v>
      </c>
      <c r="J45" s="105">
        <f t="shared" ca="1" si="0"/>
        <v>0.83165373588539671</v>
      </c>
      <c r="K45" s="104" cm="1">
        <f t="array" aca="1" ref="K45" ca="1">Cubic_SPline(CntrptyCreditCurveTenor,OwnCreditCurveVal,F45)</f>
        <v>4.1208370810181805E-3</v>
      </c>
      <c r="L45" s="106">
        <f t="shared" ca="1" si="1"/>
        <v>0.94329281963895872</v>
      </c>
      <c r="M45" s="93"/>
      <c r="N45" s="93"/>
      <c r="O45" s="93"/>
      <c r="P45" s="93"/>
    </row>
    <row r="46" spans="2:16" ht="14.4" customHeight="1" x14ac:dyDescent="0.3">
      <c r="B46" s="93"/>
      <c r="C46" s="93"/>
      <c r="D46" s="93"/>
      <c r="E46" s="93"/>
      <c r="F46" s="103">
        <v>8.75</v>
      </c>
      <c r="G46" s="104">
        <f ca="1"/>
        <v>1.1067310414590276E-2</v>
      </c>
      <c r="H46" s="105">
        <f ca="1"/>
        <v>-5.6843143286807191E-3</v>
      </c>
      <c r="I46" s="104" cm="1">
        <f t="array" aca="1" ref="I46" ca="1">Cubic_SPline(CntrptyCreditCurveTenor,CntrptyCreditCurveVal,F46)</f>
        <v>1.3118851152270405E-2</v>
      </c>
      <c r="J46" s="105">
        <f t="shared" ca="1" si="0"/>
        <v>0.82587109306562201</v>
      </c>
      <c r="K46" s="104" cm="1">
        <f t="array" aca="1" ref="K46" ca="1">Cubic_SPline(CntrptyCreditCurveTenor,OwnCreditCurveVal,F46)</f>
        <v>4.1972342057349067E-3</v>
      </c>
      <c r="L46" s="106">
        <f t="shared" ca="1" si="1"/>
        <v>0.94062600227841942</v>
      </c>
      <c r="M46" s="93"/>
      <c r="N46" s="93"/>
      <c r="O46" s="93"/>
      <c r="P46" s="93"/>
    </row>
    <row r="47" spans="2:16" ht="14.4" customHeight="1" x14ac:dyDescent="0.3">
      <c r="B47" s="93"/>
      <c r="C47" s="93"/>
      <c r="D47" s="93"/>
      <c r="E47" s="93"/>
      <c r="F47" s="103">
        <v>9</v>
      </c>
      <c r="G47" s="104">
        <f ca="1"/>
        <v>8.9448427461893583E-3</v>
      </c>
      <c r="H47" s="105">
        <f ca="1"/>
        <v>-4.638305997114925E-3</v>
      </c>
      <c r="I47" s="104" cm="1">
        <f t="array" aca="1" ref="I47" ca="1">Cubic_SPline(CntrptyCreditCurveTenor,CntrptyCreditCurveVal,F47)</f>
        <v>1.3212857668983207E-2</v>
      </c>
      <c r="J47" s="105">
        <f t="shared" ca="1" si="0"/>
        <v>0.82021164773423505</v>
      </c>
      <c r="K47" s="104" cm="1">
        <f t="array" aca="1" ref="K47" ca="1">Cubic_SPline(CntrptyCreditCurveTenor,OwnCreditCurveVal,F47)</f>
        <v>4.2675319156387477E-3</v>
      </c>
      <c r="L47" s="106">
        <f t="shared" ca="1" si="1"/>
        <v>0.93799282549180674</v>
      </c>
      <c r="M47" s="93"/>
      <c r="N47" s="93"/>
      <c r="O47" s="93"/>
      <c r="P47" s="93"/>
    </row>
    <row r="48" spans="2:16" ht="14.4" customHeight="1" x14ac:dyDescent="0.3">
      <c r="B48" s="93"/>
      <c r="C48" s="93"/>
      <c r="D48" s="93"/>
      <c r="E48" s="93"/>
      <c r="F48" s="103">
        <v>9.25</v>
      </c>
      <c r="G48" s="104">
        <f ca="1"/>
        <v>6.7764118105592148E-3</v>
      </c>
      <c r="H48" s="105">
        <f ca="1"/>
        <v>-3.5471001146261298E-3</v>
      </c>
      <c r="I48" s="104" cm="1">
        <f t="array" aca="1" ref="I48" ca="1">Cubic_SPline(CntrptyCreditCurveTenor,CntrptyCreditCurveVal,F48)</f>
        <v>1.329608320665443E-2</v>
      </c>
      <c r="J48" s="105">
        <f t="shared" ca="1" si="0"/>
        <v>0.81466256449591146</v>
      </c>
      <c r="K48" s="104" cm="1">
        <f t="array" aca="1" ref="K48" ca="1">Cubic_SPline(CntrptyCreditCurveTenor,OwnCreditCurveVal,F48)</f>
        <v>4.3323436076718735E-3</v>
      </c>
      <c r="L48" s="106">
        <f t="shared" ca="1" si="1"/>
        <v>0.93539133487375548</v>
      </c>
      <c r="M48" s="93"/>
      <c r="N48" s="93"/>
      <c r="O48" s="93"/>
      <c r="P48" s="93"/>
    </row>
    <row r="49" spans="2:16" ht="14.4" customHeight="1" x14ac:dyDescent="0.3">
      <c r="B49" s="93"/>
      <c r="C49" s="93"/>
      <c r="D49" s="93"/>
      <c r="E49" s="93"/>
      <c r="F49" s="103">
        <v>9.5</v>
      </c>
      <c r="G49" s="104">
        <f ca="1"/>
        <v>4.5626500635668451E-3</v>
      </c>
      <c r="H49" s="105">
        <f ca="1"/>
        <v>-2.4104293076138224E-3</v>
      </c>
      <c r="I49" s="104" cm="1">
        <f t="array" aca="1" ref="I49" ca="1">Cubic_SPline(CntrptyCreditCurveTenor,CntrptyCreditCurveVal,F49)</f>
        <v>1.3370420788485243E-2</v>
      </c>
      <c r="J49" s="105">
        <f t="shared" ca="1" si="0"/>
        <v>0.80920877544735226</v>
      </c>
      <c r="K49" s="104" cm="1">
        <f t="array" aca="1" ref="K49" ca="1">Cubic_SPline(CntrptyCreditCurveTenor,OwnCreditCurveVal,F49)</f>
        <v>4.3922831020296324E-3</v>
      </c>
      <c r="L49" s="106">
        <f t="shared" ca="1" si="1"/>
        <v>0.93281863840433876</v>
      </c>
      <c r="M49" s="93"/>
      <c r="N49" s="93"/>
      <c r="O49" s="93"/>
      <c r="P49" s="93"/>
    </row>
    <row r="50" spans="2:16" ht="14.4" customHeight="1" x14ac:dyDescent="0.3">
      <c r="B50" s="93"/>
      <c r="C50" s="93"/>
      <c r="D50" s="93"/>
      <c r="E50" s="93"/>
      <c r="F50" s="103">
        <v>9.75</v>
      </c>
      <c r="G50" s="104">
        <f ca="1"/>
        <v>2.3038555785121657E-3</v>
      </c>
      <c r="H50" s="105">
        <f ca="1"/>
        <v>-1.2280994923268768E-3</v>
      </c>
      <c r="I50" s="104" cm="1">
        <f t="array" aca="1" ref="I50" ca="1">Cubic_SPline(CntrptyCreditCurveTenor,CntrptyCreditCurveVal,F50)</f>
        <v>1.3437762360682566E-2</v>
      </c>
      <c r="J50" s="105">
        <f t="shared" ca="1" si="0"/>
        <v>0.80383308396829856</v>
      </c>
      <c r="K50" s="104" cm="1">
        <f t="array" aca="1" ref="K50" ca="1">Cubic_SPline(CntrptyCreditCurveTenor,OwnCreditCurveVal,F50)</f>
        <v>4.4479639452394051E-3</v>
      </c>
      <c r="L50" s="106">
        <f t="shared" ca="1" si="1"/>
        <v>0.93027092866992966</v>
      </c>
      <c r="M50" s="93"/>
      <c r="N50" s="93"/>
      <c r="O50" s="93"/>
      <c r="P50" s="93"/>
    </row>
    <row r="51" spans="2:16" ht="14.4" customHeight="1" thickBot="1" x14ac:dyDescent="0.35">
      <c r="B51" s="93"/>
      <c r="C51" s="93"/>
      <c r="D51" s="93"/>
      <c r="E51" s="93"/>
      <c r="F51" s="117">
        <v>10</v>
      </c>
      <c r="G51" s="118">
        <f ca="1"/>
        <v>0</v>
      </c>
      <c r="H51" s="119">
        <f ca="1"/>
        <v>0</v>
      </c>
      <c r="I51" s="118" cm="1">
        <f t="array" aca="1" ref="I51" ca="1">Cubic_SPline(CntrptyCreditCurveTenor,CntrptyCreditCurveVal,F51)</f>
        <v>1.3500000350177288E-2</v>
      </c>
      <c r="J51" s="119">
        <f t="shared" ca="1" si="0"/>
        <v>0.79851621409900631</v>
      </c>
      <c r="K51" s="118" cm="1">
        <f t="array" aca="1" ref="K51" ca="1">Cubic_SPline(CntrptyCreditCurveTenor,OwnCreditCurveVal,F51)</f>
        <v>4.4999998062849045E-3</v>
      </c>
      <c r="L51" s="120">
        <f t="shared" ca="1" si="1"/>
        <v>0.92774348932385153</v>
      </c>
      <c r="M51" s="93"/>
      <c r="N51" s="93"/>
      <c r="O51" s="93"/>
      <c r="P51" s="93"/>
    </row>
    <row r="52" spans="2:16" ht="14.4" customHeight="1" x14ac:dyDescent="0.3"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</row>
    <row r="53" spans="2:16" ht="14.4" customHeight="1" x14ac:dyDescent="0.3"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</row>
    <row r="54" spans="2:16" ht="14.4" customHeight="1" x14ac:dyDescent="0.3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</row>
    <row r="55" spans="2:16" ht="14.4" customHeight="1" x14ac:dyDescent="0.3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</row>
    <row r="56" spans="2:16" ht="14.4" customHeight="1" x14ac:dyDescent="0.3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</row>
    <row r="57" spans="2:16" ht="14.4" customHeight="1" x14ac:dyDescent="0.3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</row>
    <row r="58" spans="2:16" ht="14.4" customHeight="1" x14ac:dyDescent="0.25"/>
    <row r="59" spans="2:16" ht="14.4" customHeight="1" x14ac:dyDescent="0.25"/>
    <row r="60" spans="2:16" ht="14.4" customHeight="1" x14ac:dyDescent="0.25"/>
    <row r="61" spans="2:16" ht="14.4" customHeight="1" x14ac:dyDescent="0.25"/>
  </sheetData>
  <mergeCells count="4">
    <mergeCell ref="I9:J9"/>
    <mergeCell ref="K9:L9"/>
    <mergeCell ref="B23:C23"/>
    <mergeCell ref="B9:C9"/>
  </mergeCells>
  <dataValidations count="2">
    <dataValidation type="list" allowBlank="1" showInputMessage="1" showErrorMessage="1" sqref="C14" xr:uid="{BBF55C1C-B7BA-41B3-974D-CE644D86C0C8}">
      <formula1>"XXX,YYY,ZZZ,ZYX"</formula1>
    </dataValidation>
    <dataValidation type="list" allowBlank="1" showInputMessage="1" showErrorMessage="1" sqref="C10:C11" xr:uid="{0164B881-A21B-47A5-B724-FDF907E2C56C}">
      <formula1>"XXX,ZZZ,YYY,ZYX"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CAFF-4BCC-4DB4-B2CA-F0FB321946D4}">
  <sheetPr codeName="Sheet4"/>
  <dimension ref="B1:AT1048441"/>
  <sheetViews>
    <sheetView showGridLines="0" workbookViewId="0">
      <pane ySplit="7" topLeftCell="A8" activePane="bottomLeft" state="frozen"/>
      <selection pane="bottomLeft" activeCell="P25" sqref="P25"/>
    </sheetView>
  </sheetViews>
  <sheetFormatPr defaultColWidth="9.109375" defaultRowHeight="13.2" x14ac:dyDescent="0.25"/>
  <cols>
    <col min="1" max="1" width="9.109375" style="4"/>
    <col min="2" max="2" width="11.6640625" style="4" customWidth="1"/>
    <col min="3" max="3" width="10.77734375" style="4" bestFit="1" customWidth="1"/>
    <col min="4" max="4" width="9.77734375" style="4" bestFit="1" customWidth="1"/>
    <col min="5" max="5" width="8.109375" style="4" customWidth="1"/>
    <col min="6" max="6" width="10.77734375" style="4" bestFit="1" customWidth="1"/>
    <col min="7" max="7" width="9.77734375" style="4" bestFit="1" customWidth="1"/>
    <col min="8" max="8" width="8.88671875" style="4" customWidth="1"/>
    <col min="9" max="9" width="11.6640625" style="4" bestFit="1" customWidth="1"/>
    <col min="10" max="10" width="8.109375" style="4" customWidth="1"/>
    <col min="11" max="12" width="9.88671875" style="4" customWidth="1"/>
    <col min="13" max="14" width="12.33203125" style="4" bestFit="1" customWidth="1"/>
    <col min="15" max="15" width="9.109375" style="4" customWidth="1"/>
    <col min="16" max="16" width="10.6640625" style="4" bestFit="1" customWidth="1"/>
    <col min="17" max="17" width="9.88671875" style="4" bestFit="1" customWidth="1"/>
    <col min="18" max="18" width="10.88671875" style="4" customWidth="1"/>
    <col min="19" max="19" width="13.33203125" style="4" customWidth="1"/>
    <col min="20" max="20" width="9.109375" style="4"/>
    <col min="21" max="21" width="10.5546875" style="4" bestFit="1" customWidth="1"/>
    <col min="22" max="23" width="9.109375" style="4"/>
    <col min="24" max="24" width="9.5546875" style="4" bestFit="1" customWidth="1"/>
    <col min="25" max="25" width="12.33203125" style="4" bestFit="1" customWidth="1"/>
    <col min="26" max="27" width="9.109375" style="4"/>
    <col min="28" max="28" width="10.33203125" style="4" bestFit="1" customWidth="1"/>
    <col min="29" max="29" width="9.5546875" style="4" bestFit="1" customWidth="1"/>
    <col min="30" max="60" width="9.109375" style="4"/>
    <col min="61" max="61" width="12.33203125" style="4" bestFit="1" customWidth="1"/>
    <col min="62" max="16384" width="9.109375" style="4"/>
  </cols>
  <sheetData>
    <row r="1" spans="2:24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4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2:24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2:24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2:24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4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4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4" ht="13.8" thickBot="1" x14ac:dyDescent="0.3"/>
    <row r="9" spans="2:24" ht="14.4" x14ac:dyDescent="0.3">
      <c r="B9" s="66"/>
      <c r="C9" s="157" t="s">
        <v>6</v>
      </c>
      <c r="D9" s="157"/>
      <c r="E9" s="157"/>
      <c r="F9" s="157" t="s">
        <v>7</v>
      </c>
      <c r="G9" s="157"/>
      <c r="H9" s="157"/>
      <c r="I9" s="157" t="s">
        <v>23</v>
      </c>
      <c r="J9" s="158"/>
      <c r="K9" s="27"/>
      <c r="L9" s="24"/>
      <c r="M9" s="25" t="s">
        <v>40</v>
      </c>
      <c r="N9" s="26" t="s">
        <v>41</v>
      </c>
      <c r="O9" s="27"/>
      <c r="P9" s="27"/>
      <c r="Q9" s="27"/>
      <c r="R9" s="67"/>
      <c r="S9" s="68" t="s">
        <v>45</v>
      </c>
      <c r="T9" s="69" t="s">
        <v>41</v>
      </c>
      <c r="U9" s="27"/>
      <c r="V9" s="27"/>
      <c r="W9" s="27"/>
      <c r="X9" s="27"/>
    </row>
    <row r="10" spans="2:24" ht="14.4" x14ac:dyDescent="0.3">
      <c r="B10" s="34"/>
      <c r="C10" s="70" t="s">
        <v>42</v>
      </c>
      <c r="D10" s="71" t="s">
        <v>43</v>
      </c>
      <c r="E10" s="72" t="s">
        <v>46</v>
      </c>
      <c r="F10" s="71" t="s">
        <v>42</v>
      </c>
      <c r="G10" s="72" t="s">
        <v>43</v>
      </c>
      <c r="H10" s="71" t="s">
        <v>46</v>
      </c>
      <c r="I10" s="71" t="s">
        <v>40</v>
      </c>
      <c r="J10" s="73" t="s">
        <v>41</v>
      </c>
      <c r="K10" s="27"/>
      <c r="L10" s="28" t="s">
        <v>44</v>
      </c>
      <c r="M10" s="29" t="s">
        <v>48</v>
      </c>
      <c r="N10" s="30" t="s">
        <v>47</v>
      </c>
      <c r="O10" s="27"/>
      <c r="P10" s="27"/>
      <c r="Q10" s="27"/>
      <c r="R10" s="74">
        <v>1</v>
      </c>
      <c r="S10" s="75" cm="1">
        <f t="array" aca="1" ref="S10:S15" ca="1">INDIRECT(CntrptySpreadCurve)</f>
        <v>1.4999999999999999E-2</v>
      </c>
      <c r="T10" s="76" cm="1">
        <f t="array" aca="1" ref="T10:T15" ca="1">INDIRECT(OwnSpreadCurve)</f>
        <v>0.01</v>
      </c>
      <c r="U10" s="27"/>
      <c r="V10" s="27"/>
      <c r="W10" s="27"/>
      <c r="X10" s="27"/>
    </row>
    <row r="11" spans="2:24" ht="15" thickBot="1" x14ac:dyDescent="0.35">
      <c r="B11" s="77">
        <v>0</v>
      </c>
      <c r="C11" s="78">
        <v>1.5643534887323621E-2</v>
      </c>
      <c r="D11" s="78">
        <v>1.5643534887322716E-2</v>
      </c>
      <c r="E11" s="79">
        <v>3.0616666412765171E-4</v>
      </c>
      <c r="F11" s="80">
        <v>0</v>
      </c>
      <c r="G11" s="80">
        <v>0</v>
      </c>
      <c r="H11" s="80">
        <v>1.5337368223195577E-2</v>
      </c>
      <c r="I11" s="81" cm="1">
        <f t="array" aca="1" ref="I11" ca="1">EXP(-B11*Cubic_SPline(CCTenor,CntrptySpread,B11)/LGD_C)</f>
        <v>1</v>
      </c>
      <c r="J11" s="82" cm="1">
        <f t="array" aca="1" ref="J11" ca="1">EXP(-B11*Cubic_SPline(CCTenor,OwnSpread,B11)/LGD_Own)</f>
        <v>1</v>
      </c>
      <c r="K11" s="83"/>
      <c r="L11" s="31" t="s">
        <v>8</v>
      </c>
      <c r="M11" s="32">
        <v>0.6</v>
      </c>
      <c r="N11" s="33">
        <v>0.6</v>
      </c>
      <c r="O11" s="27"/>
      <c r="P11" s="27"/>
      <c r="Q11" s="27"/>
      <c r="R11" s="84">
        <v>3</v>
      </c>
      <c r="S11" s="75">
        <f ca="1"/>
        <v>1.4999999999999999E-2</v>
      </c>
      <c r="T11" s="76">
        <f ca="1"/>
        <v>0.01</v>
      </c>
      <c r="U11" s="27"/>
      <c r="V11" s="27"/>
      <c r="W11" s="27"/>
      <c r="X11" s="27"/>
    </row>
    <row r="12" spans="2:24" ht="15" thickBot="1" x14ac:dyDescent="0.35">
      <c r="B12" s="77">
        <v>0.25</v>
      </c>
      <c r="C12" s="78">
        <v>2.1501585477892937E-2</v>
      </c>
      <c r="D12" s="80">
        <v>1.7669855510827094E-2</v>
      </c>
      <c r="E12" s="85">
        <v>1.3486908424727393E-2</v>
      </c>
      <c r="F12" s="80">
        <v>-5.9467215422489865E-3</v>
      </c>
      <c r="G12" s="85">
        <v>-2.1149915751831117E-3</v>
      </c>
      <c r="H12" s="80">
        <v>2.0679555109165571E-3</v>
      </c>
      <c r="I12" s="81" cm="1">
        <f t="array" aca="1" ref="I12" ca="1">EXP(-B12*Cubic_SPline(CCTenor,CntrptySpread,B12)/LGD_C)</f>
        <v>0.99376949100324352</v>
      </c>
      <c r="J12" s="82" cm="1">
        <f t="array" aca="1" ref="J12" ca="1">EXP(-B12*Cubic_SPline(CCTenor,OwnSpread,B12)/LGD_Own)</f>
        <v>0.99584200184124561</v>
      </c>
      <c r="K12" s="83"/>
      <c r="L12" s="27"/>
      <c r="M12" s="27"/>
      <c r="N12" s="27"/>
      <c r="O12" s="27"/>
      <c r="P12" s="86"/>
      <c r="Q12" s="86"/>
      <c r="R12" s="84">
        <v>5</v>
      </c>
      <c r="S12" s="75">
        <f ca="1"/>
        <v>1.4999999999999999E-2</v>
      </c>
      <c r="T12" s="76">
        <f ca="1"/>
        <v>0.01</v>
      </c>
      <c r="U12" s="27"/>
      <c r="V12" s="27"/>
      <c r="W12" s="27"/>
      <c r="X12" s="27"/>
    </row>
    <row r="13" spans="2:24" ht="14.4" x14ac:dyDescent="0.3">
      <c r="B13" s="77">
        <v>0.5</v>
      </c>
      <c r="C13" s="78">
        <v>2.5631651573617277E-2</v>
      </c>
      <c r="D13" s="80">
        <v>2.1807642901601934E-2</v>
      </c>
      <c r="E13" s="85">
        <v>1.5084394160742897E-2</v>
      </c>
      <c r="F13" s="80">
        <v>-9.1455768940913538E-3</v>
      </c>
      <c r="G13" s="85">
        <v>-5.3215682220760516E-3</v>
      </c>
      <c r="H13" s="80">
        <v>1.4016805187829994E-3</v>
      </c>
      <c r="I13" s="81" cm="1">
        <f t="array" aca="1" ref="I13" ca="1">EXP(-B13*Cubic_SPline(CCTenor,CntrptySpread,B13)/LGD_C)</f>
        <v>0.98757780134465345</v>
      </c>
      <c r="J13" s="82" cm="1">
        <f t="array" aca="1" ref="J13" ca="1">EXP(-B13*Cubic_SPline(CCTenor,OwnSpread,B13)/LGD_Own)</f>
        <v>0.99170129320842548</v>
      </c>
      <c r="K13" s="83"/>
      <c r="L13" s="24"/>
      <c r="M13" s="87" t="s">
        <v>42</v>
      </c>
      <c r="N13" s="87" t="s">
        <v>43</v>
      </c>
      <c r="O13" s="47" t="s">
        <v>46</v>
      </c>
      <c r="P13" s="86"/>
      <c r="Q13" s="27"/>
      <c r="R13" s="84">
        <v>7</v>
      </c>
      <c r="S13" s="75">
        <f ca="1"/>
        <v>1.4999999999999999E-2</v>
      </c>
      <c r="T13" s="76">
        <f ca="1"/>
        <v>0.01</v>
      </c>
      <c r="U13" s="27"/>
      <c r="V13" s="27"/>
      <c r="W13" s="27"/>
      <c r="X13" s="27"/>
    </row>
    <row r="14" spans="2:24" ht="14.4" x14ac:dyDescent="0.3">
      <c r="B14" s="77">
        <v>0.75</v>
      </c>
      <c r="C14" s="78">
        <v>2.9183972430326492E-2</v>
      </c>
      <c r="D14" s="80">
        <v>2.565066811157635E-2</v>
      </c>
      <c r="E14" s="85">
        <v>1.6058051747318135E-2</v>
      </c>
      <c r="F14" s="80">
        <v>-1.1125943389591289E-2</v>
      </c>
      <c r="G14" s="85">
        <v>-7.5926390708410509E-3</v>
      </c>
      <c r="H14" s="80">
        <v>1.9999772934171235E-3</v>
      </c>
      <c r="I14" s="81" cm="1">
        <f t="array" aca="1" ref="I14" ca="1">EXP(-B14*Cubic_SPline(CCTenor,CntrptySpread,B14)/LGD_C)</f>
        <v>0.9814246891588001</v>
      </c>
      <c r="J14" s="82" cm="1">
        <f t="array" aca="1" ref="J14" ca="1">EXP(-B14*Cubic_SPline(CCTenor,OwnSpread,B14)/LGD_Own)</f>
        <v>0.98757780105723048</v>
      </c>
      <c r="K14" s="83"/>
      <c r="L14" s="28" t="s">
        <v>14</v>
      </c>
      <c r="M14" s="49">
        <f ca="1">-LGD_C*(SUMPRODUCT(C12:C39,I11:I38)-SUMPRODUCT(C12:C39,I12:I39))*10000</f>
        <v>-26.275092246727862</v>
      </c>
      <c r="N14" s="49">
        <f ca="1">-LGD_C*(SUMPRODUCT(D12:D39,I11:I38)-SUMPRODUCT(D12:D39,I12:I39))*10000</f>
        <v>-25.136106215665862</v>
      </c>
      <c r="O14" s="51">
        <f ca="1">-LGD_C*(SUMPRODUCT(E12:E39,I11:I38)-SUMPRODUCT(E12:E39,I12:I39))*10000</f>
        <v>-13.721227307906258</v>
      </c>
      <c r="P14" s="86"/>
      <c r="Q14" s="27"/>
      <c r="R14" s="84">
        <v>10</v>
      </c>
      <c r="S14" s="75">
        <f ca="1"/>
        <v>1.4999999999999999E-2</v>
      </c>
      <c r="T14" s="76">
        <f ca="1"/>
        <v>0.01</v>
      </c>
      <c r="U14" s="27"/>
      <c r="V14" s="27"/>
      <c r="W14" s="27"/>
      <c r="X14" s="27"/>
    </row>
    <row r="15" spans="2:24" ht="15" thickBot="1" x14ac:dyDescent="0.35">
      <c r="B15" s="77">
        <v>1</v>
      </c>
      <c r="C15" s="78">
        <v>3.2338238839481816E-2</v>
      </c>
      <c r="D15" s="80">
        <v>2.9240229635149904E-2</v>
      </c>
      <c r="E15" s="85">
        <v>1.7505653468118262E-2</v>
      </c>
      <c r="F15" s="80">
        <v>-1.2241836439678362E-2</v>
      </c>
      <c r="G15" s="85">
        <v>-9.1438272353464509E-3</v>
      </c>
      <c r="H15" s="80">
        <v>2.5907489316851517E-3</v>
      </c>
      <c r="I15" s="81" cm="1">
        <f t="array" aca="1" ref="I15" ca="1">EXP(-B15*Cubic_SPline(CCTenor,CntrptySpread,B15)/LGD_C)</f>
        <v>0.97530991257332955</v>
      </c>
      <c r="J15" s="82" cm="1">
        <f t="array" aca="1" ref="J15" ca="1">EXP(-B15*Cubic_SPline(CCTenor,OwnSpread,B15)/LGD_Own)</f>
        <v>0.9834714541879892</v>
      </c>
      <c r="K15" s="83"/>
      <c r="L15" s="28" t="s">
        <v>17</v>
      </c>
      <c r="M15" s="49">
        <f ca="1">-LGD_Own*(SUMPRODUCT(F12:F39,J11:J38)-SUMPRODUCT(F12:F39,J12:J39))*10000</f>
        <v>6.0249470274971184</v>
      </c>
      <c r="N15" s="49">
        <f ca="1">-LGD_Own*(SUMPRODUCT(G12:G39,J11:J38)-SUMPRODUCT(G12:G39,J12:J39))*10000</f>
        <v>5.256388296101699</v>
      </c>
      <c r="O15" s="51">
        <f ca="1">-LGD_Own*(SUMPRODUCT(H12:H39,J11:J38)-SUMPRODUCT(H12:H39,J12:J39))*10000</f>
        <v>-2.5303141148996788</v>
      </c>
      <c r="P15" s="27"/>
      <c r="Q15" s="27"/>
      <c r="R15" s="88">
        <v>20</v>
      </c>
      <c r="S15" s="89">
        <f ca="1"/>
        <v>1.4999999999999999E-2</v>
      </c>
      <c r="T15" s="90">
        <f ca="1"/>
        <v>0.01</v>
      </c>
      <c r="U15" s="27"/>
      <c r="V15" s="27"/>
      <c r="W15" s="27"/>
      <c r="X15" s="27"/>
    </row>
    <row r="16" spans="2:24" ht="15" thickBot="1" x14ac:dyDescent="0.35">
      <c r="B16" s="77">
        <v>1.25</v>
      </c>
      <c r="C16" s="78">
        <v>3.5601785328853552E-2</v>
      </c>
      <c r="D16" s="80">
        <v>3.2998661448264202E-2</v>
      </c>
      <c r="E16" s="85">
        <v>1.9390426956323349E-2</v>
      </c>
      <c r="F16" s="80">
        <v>-1.2741722907603319E-2</v>
      </c>
      <c r="G16" s="85">
        <v>-1.0138599027013931E-2</v>
      </c>
      <c r="H16" s="80">
        <v>3.469635464926837E-3</v>
      </c>
      <c r="I16" s="81" cm="1">
        <f t="array" aca="1" ref="I16" ca="1">EXP(-B16*Cubic_SPline(CCTenor,CntrptySpread,B16)/LGD_C)</f>
        <v>0.96923323538841566</v>
      </c>
      <c r="J16" s="82" cm="1">
        <f t="array" aca="1" ref="J16" ca="1">EXP(-B16*Cubic_SPline(CCTenor,OwnSpread,B16)/LGD_Own)</f>
        <v>0.97938218131223764</v>
      </c>
      <c r="K16" s="83"/>
      <c r="L16" s="31" t="s">
        <v>16</v>
      </c>
      <c r="M16" s="52">
        <f ca="1">M15+M14</f>
        <v>-20.250145219230745</v>
      </c>
      <c r="N16" s="52">
        <f ca="1">N15+N14</f>
        <v>-19.879717919564165</v>
      </c>
      <c r="O16" s="54">
        <f ca="1">O15+O14</f>
        <v>-16.251541422805936</v>
      </c>
      <c r="P16" s="27"/>
      <c r="Q16" s="27"/>
      <c r="R16" s="27"/>
      <c r="S16" s="27"/>
      <c r="T16" s="27"/>
      <c r="U16" s="27"/>
      <c r="V16" s="27"/>
      <c r="W16" s="27"/>
      <c r="X16" s="27"/>
    </row>
    <row r="17" spans="2:24" ht="14.4" x14ac:dyDescent="0.3">
      <c r="B17" s="77">
        <v>1.5</v>
      </c>
      <c r="C17" s="78">
        <v>3.6920888755218435E-2</v>
      </c>
      <c r="D17" s="80">
        <v>3.4729948372067027E-2</v>
      </c>
      <c r="E17" s="85">
        <v>1.8836410018918358E-2</v>
      </c>
      <c r="F17" s="80">
        <v>-1.3377267229318241E-2</v>
      </c>
      <c r="G17" s="85">
        <v>-1.1186326846166819E-2</v>
      </c>
      <c r="H17" s="80">
        <v>4.7072115069818118E-3</v>
      </c>
      <c r="I17" s="81" cm="1">
        <f t="array" aca="1" ref="I17" ca="1">EXP(-B17*Cubic_SPline(CCTenor,CntrptySpread,B17)/LGD_C)</f>
        <v>0.96319441908881498</v>
      </c>
      <c r="J17" s="82" cm="1">
        <f t="array" aca="1" ref="J17" ca="1">EXP(-B17*Cubic_SPline(CCTenor,OwnSpread,B17)/LGD_Own)</f>
        <v>0.97530991257332955</v>
      </c>
      <c r="K17" s="83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2:24" ht="14.4" x14ac:dyDescent="0.3">
      <c r="B18" s="77">
        <v>1.75</v>
      </c>
      <c r="C18" s="78">
        <v>3.8124095967932807E-2</v>
      </c>
      <c r="D18" s="80">
        <v>3.6112015946640548E-2</v>
      </c>
      <c r="E18" s="85">
        <v>1.9236652506087575E-2</v>
      </c>
      <c r="F18" s="80">
        <v>-1.3549895053602695E-2</v>
      </c>
      <c r="G18" s="85">
        <v>-1.1537815032310429E-2</v>
      </c>
      <c r="H18" s="80">
        <v>5.3375484082425918E-3</v>
      </c>
      <c r="I18" s="81" cm="1">
        <f t="array" aca="1" ref="I18" ca="1">EXP(-B18*Cubic_SPline(CCTenor,CntrptySpread,B18)/LGD_C)</f>
        <v>0.95719322778077642</v>
      </c>
      <c r="J18" s="82" cm="1">
        <f t="array" aca="1" ref="J18" ca="1">EXP(-B18*Cubic_SPline(CCTenor,OwnSpread,B18)/LGD_Own)</f>
        <v>0.97125457650642744</v>
      </c>
      <c r="K18" s="83"/>
      <c r="L18" s="27"/>
      <c r="M18" s="27"/>
      <c r="N18" s="27"/>
      <c r="O18" s="27"/>
      <c r="P18" s="55" t="s">
        <v>57</v>
      </c>
      <c r="Q18" s="27"/>
      <c r="R18" s="27"/>
      <c r="S18" s="27"/>
      <c r="T18" s="27"/>
      <c r="U18" s="27"/>
      <c r="V18" s="27"/>
      <c r="W18" s="27"/>
      <c r="X18" s="27"/>
    </row>
    <row r="19" spans="2:24" ht="14.4" x14ac:dyDescent="0.3">
      <c r="B19" s="77">
        <v>2</v>
      </c>
      <c r="C19" s="78">
        <v>3.8364850444997829E-2</v>
      </c>
      <c r="D19" s="80">
        <v>3.6643620713956965E-2</v>
      </c>
      <c r="E19" s="85">
        <v>1.8311980695574933E-2</v>
      </c>
      <c r="F19" s="80">
        <v>-1.3876491469243871E-2</v>
      </c>
      <c r="G19" s="85">
        <v>-1.2155261738202916E-2</v>
      </c>
      <c r="H19" s="80">
        <v>6.1763782801790117E-3</v>
      </c>
      <c r="I19" s="81" cm="1">
        <f t="array" aca="1" ref="I19" ca="1">EXP(-B19*Cubic_SPline(CCTenor,CntrptySpread,B19)/LGD_C)</f>
        <v>0.95122942556379575</v>
      </c>
      <c r="J19" s="82" cm="1">
        <f t="array" aca="1" ref="J19" ca="1">EXP(-B19*Cubic_SPline(CCTenor,OwnSpread,B19)/LGD_Own)</f>
        <v>0.96721610120263801</v>
      </c>
      <c r="K19" s="83"/>
      <c r="L19" s="27"/>
      <c r="M19" s="27"/>
      <c r="N19" s="27"/>
      <c r="O19" s="27"/>
      <c r="P19" s="55" t="s">
        <v>58</v>
      </c>
      <c r="Q19" s="27"/>
      <c r="R19" s="27"/>
      <c r="S19" s="27"/>
      <c r="T19" s="27"/>
      <c r="U19" s="27"/>
      <c r="V19" s="27"/>
      <c r="W19" s="27"/>
      <c r="X19" s="27"/>
    </row>
    <row r="20" spans="2:24" ht="14.4" x14ac:dyDescent="0.3">
      <c r="B20" s="77">
        <v>2.25</v>
      </c>
      <c r="C20" s="78">
        <v>3.8584753212513825E-2</v>
      </c>
      <c r="D20" s="80">
        <v>3.7120821980498472E-2</v>
      </c>
      <c r="E20" s="85">
        <v>1.7701396289616679E-2</v>
      </c>
      <c r="F20" s="80">
        <v>-1.3438102353898458E-2</v>
      </c>
      <c r="G20" s="85">
        <v>-1.1974171121883103E-2</v>
      </c>
      <c r="H20" s="80">
        <v>7.4452545689986313E-3</v>
      </c>
      <c r="I20" s="81" cm="1">
        <f t="array" aca="1" ref="I20" ca="1">EXP(-B20*Cubic_SPline(CCTenor,CntrptySpread,B20)/LGD_C)</f>
        <v>0.94530278225325393</v>
      </c>
      <c r="J20" s="82" cm="1">
        <f t="array" aca="1" ref="J20" ca="1">EXP(-B20*Cubic_SPline(CCTenor,OwnSpread,B20)/LGD_Own)</f>
        <v>0.96319441852816201</v>
      </c>
      <c r="K20" s="83"/>
      <c r="L20" s="27"/>
      <c r="M20" s="27"/>
      <c r="N20" s="27"/>
      <c r="O20" s="27"/>
      <c r="P20" s="55" t="s">
        <v>59</v>
      </c>
      <c r="Q20" s="27"/>
      <c r="R20" s="27"/>
      <c r="S20" s="27"/>
      <c r="T20" s="27"/>
      <c r="U20" s="27"/>
      <c r="V20" s="27"/>
      <c r="W20" s="27"/>
      <c r="X20" s="27"/>
    </row>
    <row r="21" spans="2:24" ht="14.4" x14ac:dyDescent="0.3">
      <c r="B21" s="77">
        <v>2.5</v>
      </c>
      <c r="C21" s="78">
        <v>3.8588439195383933E-2</v>
      </c>
      <c r="D21" s="80">
        <v>3.7343552140946777E-2</v>
      </c>
      <c r="E21" s="85">
        <v>1.798327160258428E-2</v>
      </c>
      <c r="F21" s="80">
        <v>-1.3405852944042278E-2</v>
      </c>
      <c r="G21" s="85">
        <v>-1.2160965889605144E-2</v>
      </c>
      <c r="H21" s="80">
        <v>7.1993146487574315E-3</v>
      </c>
      <c r="I21" s="81" cm="1">
        <f t="array" aca="1" ref="I21" ca="1">EXP(-B21*Cubic_SPline(CCTenor,CntrptySpread,B21)/LGD_C)</f>
        <v>0.93941306412582071</v>
      </c>
      <c r="J21" s="82" cm="1">
        <f t="array" aca="1" ref="J21" ca="1">EXP(-B21*Cubic_SPline(CCTenor,OwnSpread,B21)/LGD_Own)</f>
        <v>0.95918945800245303</v>
      </c>
      <c r="K21" s="83"/>
      <c r="L21" s="27"/>
      <c r="M21" s="27"/>
      <c r="N21" s="27"/>
      <c r="O21" s="27"/>
      <c r="P21" s="55" t="s">
        <v>60</v>
      </c>
      <c r="Q21" s="27"/>
      <c r="R21" s="27"/>
      <c r="S21" s="27"/>
      <c r="T21" s="27"/>
      <c r="U21" s="27"/>
      <c r="V21" s="27"/>
      <c r="W21" s="27"/>
      <c r="X21" s="27"/>
    </row>
    <row r="22" spans="2:24" ht="14.4" x14ac:dyDescent="0.3">
      <c r="B22" s="77">
        <v>2.75</v>
      </c>
      <c r="C22" s="78">
        <v>3.8222223324045429E-2</v>
      </c>
      <c r="D22" s="80">
        <v>3.7041446859000036E-2</v>
      </c>
      <c r="E22" s="85">
        <v>1.723177680548647E-2</v>
      </c>
      <c r="F22" s="80">
        <v>-1.2980045361969823E-2</v>
      </c>
      <c r="G22" s="85">
        <v>-1.1799268896924463E-2</v>
      </c>
      <c r="H22" s="80">
        <v>8.0104011565889973E-3</v>
      </c>
      <c r="I22" s="81" cm="1">
        <f t="array" aca="1" ref="I22" ca="1">EXP(-B22*Cubic_SPline(CCTenor,CntrptySpread,B22)/LGD_C)</f>
        <v>0.9335600423516961</v>
      </c>
      <c r="J22" s="82" cm="1">
        <f t="array" aca="1" ref="J22" ca="1">EXP(-B22*Cubic_SPline(CCTenor,OwnSpread,B22)/LGD_Own)</f>
        <v>0.95520115009484885</v>
      </c>
      <c r="K22" s="83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2:24" ht="14.4" x14ac:dyDescent="0.3">
      <c r="B23" s="77">
        <v>3</v>
      </c>
      <c r="C23" s="78">
        <v>3.7326585714134074E-2</v>
      </c>
      <c r="D23" s="80">
        <v>3.6361768388410327E-2</v>
      </c>
      <c r="E23" s="85">
        <v>1.6054131495959075E-2</v>
      </c>
      <c r="F23" s="80">
        <v>-1.2826443083817576E-2</v>
      </c>
      <c r="G23" s="85">
        <v>-1.1861625758093963E-2</v>
      </c>
      <c r="H23" s="80">
        <v>8.4460111343573948E-3</v>
      </c>
      <c r="I23" s="81" cm="1">
        <f t="array" aca="1" ref="I23" ca="1">EXP(-B23*Cubic_SPline(CCTenor,CntrptySpread,B23)/LGD_C)</f>
        <v>0.92774348788380412</v>
      </c>
      <c r="J23" s="82" cm="1">
        <f t="array" aca="1" ref="J23" ca="1">EXP(-B23*Cubic_SPline(CCTenor,OwnSpread,B23)/LGD_Own)</f>
        <v>0.95122942556379575</v>
      </c>
      <c r="K23" s="8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2:24" ht="14.4" x14ac:dyDescent="0.3">
      <c r="B24" s="77">
        <v>3.25</v>
      </c>
      <c r="C24" s="78">
        <v>3.6190232124819414E-2</v>
      </c>
      <c r="D24" s="80">
        <v>3.5390079924477569E-2</v>
      </c>
      <c r="E24" s="85">
        <v>1.5051464262084204E-2</v>
      </c>
      <c r="F24" s="80">
        <v>-1.2303946857117498E-2</v>
      </c>
      <c r="G24" s="85">
        <v>-1.1503794656775692E-2</v>
      </c>
      <c r="H24" s="80">
        <v>8.8348210056177785E-3</v>
      </c>
      <c r="I24" s="81" cm="1">
        <f t="array" aca="1" ref="I24" ca="1">EXP(-B24*Cubic_SPline(CCTenor,CntrptySpread,B24)/LGD_C)</f>
        <v>0.9219631740936306</v>
      </c>
      <c r="J24" s="82" cm="1">
        <f t="array" aca="1" ref="J24" ca="1">EXP(-B24*Cubic_SPline(CCTenor,OwnSpread,B24)/LGD_Own)</f>
        <v>0.94727421426097613</v>
      </c>
      <c r="K24" s="83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2:24" ht="14.4" x14ac:dyDescent="0.3">
      <c r="B25" s="77">
        <v>3.5</v>
      </c>
      <c r="C25" s="78">
        <v>3.5038865762392624E-2</v>
      </c>
      <c r="D25" s="80">
        <v>3.4368889873639674E-2</v>
      </c>
      <c r="E25" s="85">
        <v>1.3967750954001427E-2</v>
      </c>
      <c r="F25" s="80">
        <v>-1.1641460137707661E-2</v>
      </c>
      <c r="G25" s="85">
        <v>-1.097148424895465E-2</v>
      </c>
      <c r="H25" s="80">
        <v>9.4296546706835824E-3</v>
      </c>
      <c r="I25" s="81" cm="1">
        <f t="array" aca="1" ref="I25" ca="1">EXP(-B25*Cubic_SPline(CCTenor,CntrptySpread,B25)/LGD_C)</f>
        <v>0.91621887468718677</v>
      </c>
      <c r="J25" s="82" cm="1">
        <f t="array" aca="1" ref="J25" ca="1">EXP(-B25*Cubic_SPline(CCTenor,OwnSpread,B25)/LGD_Own)</f>
        <v>0.94333545110346162</v>
      </c>
      <c r="K25" s="83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2:24" ht="14.4" x14ac:dyDescent="0.3">
      <c r="B26" s="77">
        <v>3.75</v>
      </c>
      <c r="C26" s="78">
        <v>3.3486456733540317E-2</v>
      </c>
      <c r="D26" s="80">
        <v>3.2906977027015449E-2</v>
      </c>
      <c r="E26" s="85">
        <v>1.2804093876669675E-2</v>
      </c>
      <c r="F26" s="80">
        <v>-1.1054207408917646E-2</v>
      </c>
      <c r="G26" s="85">
        <v>-1.0474727702392867E-2</v>
      </c>
      <c r="H26" s="80">
        <v>9.6281554479529952E-3</v>
      </c>
      <c r="I26" s="81" cm="1">
        <f t="array" aca="1" ref="I26" ca="1">EXP(-B26*Cubic_SPline(CCTenor,CntrptySpread,B26)/LGD_C)</f>
        <v>0.91051036527543705</v>
      </c>
      <c r="J26" s="82" cm="1">
        <f t="array" aca="1" ref="J26" ca="1">EXP(-B26*Cubic_SPline(CCTenor,OwnSpread,B26)/LGD_Own)</f>
        <v>0.93941306549284664</v>
      </c>
      <c r="K26" s="83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2:24" ht="14.4" x14ac:dyDescent="0.3">
      <c r="B27" s="77">
        <v>4</v>
      </c>
      <c r="C27" s="78">
        <v>3.1639862814599996E-2</v>
      </c>
      <c r="D27" s="80">
        <v>3.1182303274279715E-2</v>
      </c>
      <c r="E27" s="85">
        <v>1.2148280979913561E-2</v>
      </c>
      <c r="F27" s="80">
        <v>-1.046119847205765E-2</v>
      </c>
      <c r="G27" s="85">
        <v>-1.0003638931737391E-2</v>
      </c>
      <c r="H27" s="80">
        <v>9.0303833626288466E-3</v>
      </c>
      <c r="I27" s="81" cm="1">
        <f t="array" aca="1" ref="I27" ca="1">EXP(-B27*Cubic_SPline(CCTenor,CntrptySpread,B27)/LGD_C)</f>
        <v>0.90483742005842882</v>
      </c>
      <c r="J27" s="82" cm="1">
        <f t="array" aca="1" ref="J27" ca="1">EXP(-B27*Cubic_SPline(CCTenor,OwnSpread,B27)/LGD_Own)</f>
        <v>0.93550698642563179</v>
      </c>
      <c r="K27" s="83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2:24" ht="14.4" x14ac:dyDescent="0.3">
      <c r="B28" s="77">
        <v>4.25</v>
      </c>
      <c r="C28" s="78">
        <v>2.9768006734671105E-2</v>
      </c>
      <c r="D28" s="80">
        <v>2.9421848263831762E-2</v>
      </c>
      <c r="E28" s="85">
        <v>1.0418337237571169E-2</v>
      </c>
      <c r="F28" s="80">
        <v>-9.7488565877458661E-3</v>
      </c>
      <c r="G28" s="85">
        <v>-9.4026981169064369E-3</v>
      </c>
      <c r="H28" s="80">
        <v>9.6008129093540801E-3</v>
      </c>
      <c r="I28" s="81" cm="1">
        <f t="array" aca="1" ref="I28" ca="1">EXP(-B28*Cubic_SPline(CCTenor,CntrptySpread,B28)/LGD_C)</f>
        <v>0.899199822895556</v>
      </c>
      <c r="J28" s="82" cm="1">
        <f t="array" aca="1" ref="J28" ca="1">EXP(-B28*Cubic_SPline(CCTenor,OwnSpread,B28)/LGD_Own)</f>
        <v>0.93161715018895086</v>
      </c>
      <c r="K28" s="83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2:24" ht="14.4" x14ac:dyDescent="0.3">
      <c r="B29" s="77">
        <v>4.5</v>
      </c>
      <c r="C29" s="78">
        <v>2.792441545060691E-2</v>
      </c>
      <c r="D29" s="80">
        <v>2.7685872382448563E-2</v>
      </c>
      <c r="E29" s="85">
        <v>9.2455186074984746E-3</v>
      </c>
      <c r="F29" s="80">
        <v>-8.9329409206117521E-3</v>
      </c>
      <c r="G29" s="85">
        <v>-8.694397852453328E-3</v>
      </c>
      <c r="H29" s="80">
        <v>9.7459559224967584E-3</v>
      </c>
      <c r="I29" s="81" cm="1">
        <f t="array" aca="1" ref="I29" ca="1">EXP(-B29*Cubic_SPline(CCTenor,CntrptySpread,B29)/LGD_C)</f>
        <v>0.89359734935552959</v>
      </c>
      <c r="J29" s="82" cm="1">
        <f t="array" aca="1" ref="J29" ca="1">EXP(-B29*Cubic_SPline(CCTenor,OwnSpread,B29)/LGD_Own)</f>
        <v>0.92774348788380412</v>
      </c>
      <c r="K29" s="83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2:24" ht="14.4" x14ac:dyDescent="0.3">
      <c r="B30" s="77">
        <v>4.75</v>
      </c>
      <c r="C30" s="78">
        <v>2.5881153429576059E-2</v>
      </c>
      <c r="D30" s="80">
        <v>2.5753243842371199E-2</v>
      </c>
      <c r="E30" s="85">
        <v>8.3645480996757463E-3</v>
      </c>
      <c r="F30" s="80">
        <v>-8.094803077319539E-3</v>
      </c>
      <c r="G30" s="85">
        <v>-7.966893490114639E-3</v>
      </c>
      <c r="H30" s="80">
        <v>9.421802252580793E-3</v>
      </c>
      <c r="I30" s="81" cm="1">
        <f t="array" aca="1" ref="I30" ca="1">EXP(-B30*Cubic_SPline(CCTenor,CntrptySpread,B30)/LGD_C)</f>
        <v>0.8880297828155167</v>
      </c>
      <c r="J30" s="82" cm="1">
        <f t="array" aca="1" ref="J30" ca="1">EXP(-B30*Cubic_SPline(CCTenor,OwnSpread,B30)/LGD_Own)</f>
        <v>0.92388593225901561</v>
      </c>
      <c r="K30" s="8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2:24" ht="14.4" x14ac:dyDescent="0.3">
      <c r="B31" s="77">
        <v>5</v>
      </c>
      <c r="C31" s="78">
        <v>2.3651141099558046E-2</v>
      </c>
      <c r="D31" s="80">
        <v>2.3635357354012187E-2</v>
      </c>
      <c r="E31" s="85">
        <v>7.3657163946080576E-3</v>
      </c>
      <c r="F31" s="80">
        <v>-7.2576709513343411E-3</v>
      </c>
      <c r="G31" s="85">
        <v>-7.2418872057883896E-3</v>
      </c>
      <c r="H31" s="80">
        <v>9.0277537536156329E-3</v>
      </c>
      <c r="I31" s="81" cm="1">
        <f t="array" aca="1" ref="I31" ca="1">EXP(-B31*Cubic_SPline(CCTenor,CntrptySpread,B31)/LGD_C)</f>
        <v>0.88249690505026324</v>
      </c>
      <c r="J31" s="82" cm="1">
        <f t="array" aca="1" ref="J31" ca="1">EXP(-B31*Cubic_SPline(CCTenor,OwnSpread,B31)/LGD_Own)</f>
        <v>0.92004441634303946</v>
      </c>
      <c r="K31" s="8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2:24" ht="14.4" x14ac:dyDescent="0.3">
      <c r="B32" s="77">
        <v>5.25</v>
      </c>
      <c r="C32" s="78">
        <v>2.1313244513725627E-2</v>
      </c>
      <c r="D32" s="80">
        <v>2.1313244513725647E-2</v>
      </c>
      <c r="E32" s="85">
        <v>2.1313244513725627E-2</v>
      </c>
      <c r="F32" s="80">
        <v>-6.414063573506025E-3</v>
      </c>
      <c r="G32" s="85">
        <v>-6.414063573506025E-3</v>
      </c>
      <c r="H32" s="80">
        <v>-6.414063573506025E-3</v>
      </c>
      <c r="I32" s="81" cm="1">
        <f t="array" aca="1" ref="I32" ca="1">EXP(-B32*Cubic_SPline(CCTenor,CntrptySpread,B32)/LGD_C)</f>
        <v>0.87699850082437825</v>
      </c>
      <c r="J32" s="82" cm="1">
        <f t="array" aca="1" ref="J32" ca="1">EXP(-B32*Cubic_SPline(CCTenor,OwnSpread,B32)/LGD_Own)</f>
        <v>0.91621887157621429</v>
      </c>
      <c r="K32" s="83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2:24" ht="14.4" x14ac:dyDescent="0.3">
      <c r="B33" s="77">
        <v>5.5</v>
      </c>
      <c r="C33" s="78">
        <v>1.8934439925586286E-2</v>
      </c>
      <c r="D33" s="80">
        <v>1.8848799171235105E-2</v>
      </c>
      <c r="E33" s="85">
        <v>1.8934439925586286E-2</v>
      </c>
      <c r="F33" s="80">
        <v>-5.5645451162629799E-3</v>
      </c>
      <c r="G33" s="85">
        <v>-5.4789043619117963E-3</v>
      </c>
      <c r="H33" s="80">
        <v>-5.5645451162629799E-3</v>
      </c>
      <c r="I33" s="81" cm="1">
        <f t="array" aca="1" ref="I33" ca="1">EXP(-B33*Cubic_SPline(CCTenor,CntrptySpread,B33)/LGD_C)</f>
        <v>0.87153435453579975</v>
      </c>
      <c r="J33" s="82" cm="1">
        <f t="array" aca="1" ref="J33" ca="1">EXP(-B33*Cubic_SPline(CCTenor,OwnSpread,B33)/LGD_Own)</f>
        <v>0.91240923714252187</v>
      </c>
      <c r="K33" s="83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2:24" ht="14.4" x14ac:dyDescent="0.3">
      <c r="B34" s="77">
        <v>5.75</v>
      </c>
      <c r="C34" s="78">
        <v>1.6451499656767486E-2</v>
      </c>
      <c r="D34" s="80">
        <v>1.6448028920033816E-2</v>
      </c>
      <c r="E34" s="85">
        <v>1.6451499656767486E-2</v>
      </c>
      <c r="F34" s="80">
        <v>-4.731794685024486E-3</v>
      </c>
      <c r="G34" s="85">
        <v>-4.728323948290797E-3</v>
      </c>
      <c r="H34" s="80">
        <v>-4.731794685024486E-3</v>
      </c>
      <c r="I34" s="81" cm="1">
        <f t="array" aca="1" ref="I34" ca="1">EXP(-B34*Cubic_SPline(CCTenor,CntrptySpread,B34)/LGD_C)</f>
        <v>0.86610425273911384</v>
      </c>
      <c r="J34" s="82" cm="1">
        <f t="array" aca="1" ref="J34" ca="1">EXP(-B34*Cubic_SPline(CCTenor,OwnSpread,B34)/LGD_Own)</f>
        <v>0.908615443329988</v>
      </c>
      <c r="K34" s="83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2:24" ht="14.4" x14ac:dyDescent="0.3">
      <c r="B35" s="77">
        <v>6</v>
      </c>
      <c r="C35" s="78">
        <v>1.3820084330290796E-2</v>
      </c>
      <c r="D35" s="80">
        <v>1.3693958172160136E-2</v>
      </c>
      <c r="E35" s="85">
        <v>1.3820084330290796E-2</v>
      </c>
      <c r="F35" s="80">
        <v>-3.9145417236722529E-3</v>
      </c>
      <c r="G35" s="85">
        <v>-3.7884155655415674E-3</v>
      </c>
      <c r="H35" s="80">
        <v>-3.9145417236722529E-3</v>
      </c>
      <c r="I35" s="81" cm="1">
        <f t="array" aca="1" ref="I35" ca="1">EXP(-B35*Cubic_SPline(CCTenor,CntrptySpread,B35)/LGD_C)</f>
        <v>0.86070797931080623</v>
      </c>
      <c r="J35" s="82" cm="1">
        <f t="array" aca="1" ref="J35" ca="1">EXP(-B35*Cubic_SPline(CCTenor,OwnSpread,B35)/LGD_Own)</f>
        <v>0.90483742005842882</v>
      </c>
      <c r="K35" s="83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2:24" ht="14.4" x14ac:dyDescent="0.3">
      <c r="B36" s="77">
        <v>6.25</v>
      </c>
      <c r="C36" s="78">
        <v>1.1043436015428143E-2</v>
      </c>
      <c r="D36" s="80">
        <v>1.1023589481735829E-2</v>
      </c>
      <c r="E36" s="85">
        <v>1.1043436015428143E-2</v>
      </c>
      <c r="F36" s="80">
        <v>-3.0783337319439073E-3</v>
      </c>
      <c r="G36" s="85">
        <v>-3.0584871982515839E-3</v>
      </c>
      <c r="H36" s="80">
        <v>-3.0783337319439073E-3</v>
      </c>
      <c r="I36" s="81" cm="1">
        <f t="array" aca="1" ref="I36" ca="1">EXP(-B36*Cubic_SPline(CCTenor,CntrptySpread,B36)/LGD_C)</f>
        <v>0.85534533133192425</v>
      </c>
      <c r="J36" s="82" cm="1">
        <f t="array" aca="1" ref="J36" ca="1">EXP(-B36*Cubic_SPline(CCTenor,OwnSpread,B36)/LGD_Own)</f>
        <v>0.90107510781926958</v>
      </c>
      <c r="K36" s="83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2:24" ht="14.4" x14ac:dyDescent="0.3">
      <c r="B37" s="77">
        <v>6.5</v>
      </c>
      <c r="C37" s="78">
        <v>8.5286583330502468E-3</v>
      </c>
      <c r="D37" s="80">
        <v>8.352726918272298E-3</v>
      </c>
      <c r="E37" s="85">
        <v>8.5286583330502468E-3</v>
      </c>
      <c r="F37" s="80">
        <v>-2.2965623484757325E-3</v>
      </c>
      <c r="G37" s="85">
        <v>-2.1206309336977498E-3</v>
      </c>
      <c r="H37" s="80">
        <v>-2.2965623484757325E-3</v>
      </c>
      <c r="I37" s="81" cm="1">
        <f t="array" aca="1" ref="I37" ca="1">EXP(-B37*Cubic_SPline(CCTenor,CntrptySpread,B37)/LGD_C)</f>
        <v>0.85001609331279093</v>
      </c>
      <c r="J37" s="82" cm="1">
        <f t="array" aca="1" ref="J37" ca="1">EXP(-B37*Cubic_SPline(CCTenor,OwnSpread,B37)/LGD_Own)</f>
        <v>0.89732843926710992</v>
      </c>
      <c r="K37" s="83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2:24" ht="14.4" x14ac:dyDescent="0.3">
      <c r="B38" s="77">
        <v>6.75</v>
      </c>
      <c r="C38" s="78">
        <v>5.8022666763154537E-3</v>
      </c>
      <c r="D38" s="80">
        <v>5.7498867466219371E-3</v>
      </c>
      <c r="E38" s="85">
        <v>5.8022666763154537E-3</v>
      </c>
      <c r="F38" s="80">
        <v>-1.5108276226373848E-3</v>
      </c>
      <c r="G38" s="85">
        <v>-1.4584476929438617E-3</v>
      </c>
      <c r="H38" s="80">
        <v>-1.5108276226373848E-3</v>
      </c>
      <c r="I38" s="81" cm="1">
        <f t="array" aca="1" ref="I38" ca="1">EXP(-B38*Cubic_SPline(CCTenor,CntrptySpread,B38)/LGD_C)</f>
        <v>0.8447200601911462</v>
      </c>
      <c r="J38" s="82" cm="1">
        <f t="array" aca="1" ref="J38" ca="1">EXP(-B38*Cubic_SPline(CCTenor,OwnSpread,B38)/LGD_Own)</f>
        <v>0.89359734935552959</v>
      </c>
      <c r="K38" s="83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2:24" ht="14.4" x14ac:dyDescent="0.3">
      <c r="B39" s="77">
        <v>7</v>
      </c>
      <c r="C39" s="78">
        <v>2.8945657397456072E-3</v>
      </c>
      <c r="D39" s="80">
        <v>2.7573767671192841E-3</v>
      </c>
      <c r="E39" s="85">
        <v>2.8945657397456072E-3</v>
      </c>
      <c r="F39" s="80">
        <v>-7.3488475165954764E-4</v>
      </c>
      <c r="G39" s="85">
        <v>-5.9769577903322853E-4</v>
      </c>
      <c r="H39" s="80">
        <v>-7.3488475165954764E-4</v>
      </c>
      <c r="I39" s="81" cm="1">
        <f t="array" aca="1" ref="I39" ca="1">EXP(-B39*Cubic_SPline(CCTenor,CntrptySpread,B39)/LGD_C)</f>
        <v>0.83945702405278955</v>
      </c>
      <c r="J39" s="82" cm="1">
        <f t="array" aca="1" ref="J39" ca="1">EXP(-B39*Cubic_SPline(CCTenor,OwnSpread,B39)/LGD_Own)</f>
        <v>0.88988177330857132</v>
      </c>
      <c r="K39" s="83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2:24" ht="14.4" x14ac:dyDescent="0.3">
      <c r="B40" s="63"/>
      <c r="C40" s="91"/>
      <c r="D40" s="91"/>
      <c r="E40" s="91"/>
      <c r="F40" s="91"/>
      <c r="G40" s="91"/>
      <c r="H40" s="91"/>
      <c r="I40" s="64"/>
      <c r="J40" s="64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2:24" ht="14.4" x14ac:dyDescent="0.3">
      <c r="B41" s="63"/>
      <c r="C41" s="91"/>
      <c r="D41" s="91"/>
      <c r="E41" s="91"/>
      <c r="F41" s="91"/>
      <c r="G41" s="91"/>
      <c r="H41" s="91"/>
      <c r="I41" s="64"/>
      <c r="J41" s="64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</row>
    <row r="42" spans="2:24" ht="14.4" x14ac:dyDescent="0.3">
      <c r="B42" s="63"/>
      <c r="C42" s="91"/>
      <c r="D42" s="91"/>
      <c r="E42" s="91"/>
      <c r="F42" s="91"/>
      <c r="G42" s="91"/>
      <c r="H42" s="91"/>
      <c r="I42" s="64"/>
      <c r="J42" s="64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</row>
    <row r="43" spans="2:24" ht="14.4" x14ac:dyDescent="0.3">
      <c r="B43" s="63"/>
      <c r="C43" s="91"/>
      <c r="D43" s="91"/>
      <c r="E43" s="91"/>
      <c r="F43" s="91"/>
      <c r="G43" s="91"/>
      <c r="H43" s="91"/>
      <c r="I43" s="64"/>
      <c r="J43" s="64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2:24" ht="14.4" x14ac:dyDescent="0.3">
      <c r="B44" s="63"/>
      <c r="C44" s="91"/>
      <c r="D44" s="91"/>
      <c r="E44" s="91"/>
      <c r="F44" s="91"/>
      <c r="G44" s="91"/>
      <c r="H44" s="91"/>
      <c r="I44" s="64"/>
      <c r="J44" s="64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2:24" ht="14.4" x14ac:dyDescent="0.3">
      <c r="B45" s="63"/>
      <c r="C45" s="91"/>
      <c r="D45" s="91"/>
      <c r="E45" s="91"/>
      <c r="F45" s="91"/>
      <c r="G45" s="91"/>
      <c r="H45" s="91"/>
      <c r="I45" s="64"/>
      <c r="J45" s="64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2:24" ht="14.4" x14ac:dyDescent="0.3">
      <c r="B46" s="63"/>
      <c r="C46" s="91"/>
      <c r="D46" s="91"/>
      <c r="E46" s="91"/>
      <c r="F46" s="91"/>
      <c r="G46" s="91"/>
      <c r="H46" s="91"/>
      <c r="I46" s="64"/>
      <c r="J46" s="64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</row>
    <row r="47" spans="2:24" ht="14.4" x14ac:dyDescent="0.3">
      <c r="B47" s="63"/>
      <c r="C47" s="91"/>
      <c r="D47" s="91"/>
      <c r="E47" s="91"/>
      <c r="F47" s="91"/>
      <c r="G47" s="91"/>
      <c r="H47" s="91"/>
      <c r="I47" s="64"/>
      <c r="J47" s="64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</row>
    <row r="48" spans="2:24" ht="14.4" x14ac:dyDescent="0.3">
      <c r="B48" s="63"/>
      <c r="C48" s="91"/>
      <c r="D48" s="91"/>
      <c r="E48" s="91"/>
      <c r="F48" s="91"/>
      <c r="G48" s="91"/>
      <c r="H48" s="91"/>
      <c r="I48" s="64"/>
      <c r="J48" s="64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</row>
    <row r="49" spans="2:24" ht="14.4" x14ac:dyDescent="0.3">
      <c r="B49" s="63"/>
      <c r="C49" s="91"/>
      <c r="D49" s="91"/>
      <c r="E49" s="91"/>
      <c r="F49" s="91"/>
      <c r="G49" s="91"/>
      <c r="H49" s="91"/>
      <c r="I49" s="64"/>
      <c r="J49" s="64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</row>
    <row r="50" spans="2:24" ht="14.4" x14ac:dyDescent="0.3">
      <c r="B50" s="63"/>
      <c r="C50" s="91"/>
      <c r="D50" s="91"/>
      <c r="E50" s="91"/>
      <c r="F50" s="91"/>
      <c r="G50" s="91"/>
      <c r="H50" s="91"/>
      <c r="I50" s="64"/>
      <c r="J50" s="64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</row>
    <row r="51" spans="2:24" ht="14.4" x14ac:dyDescent="0.3">
      <c r="B51" s="63"/>
      <c r="C51" s="91"/>
      <c r="D51" s="91"/>
      <c r="E51" s="91"/>
      <c r="F51" s="91"/>
      <c r="G51" s="91"/>
      <c r="H51" s="91"/>
      <c r="I51" s="64"/>
      <c r="J51" s="64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</row>
    <row r="52" spans="2:24" ht="14.4" x14ac:dyDescent="0.3">
      <c r="B52" s="27"/>
      <c r="C52" s="92"/>
      <c r="D52" s="92"/>
      <c r="E52" s="92"/>
      <c r="F52" s="92"/>
      <c r="G52" s="92"/>
      <c r="H52" s="92"/>
      <c r="I52" s="65"/>
      <c r="J52" s="65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</row>
    <row r="53" spans="2:24" ht="14.4" x14ac:dyDescent="0.3">
      <c r="B53" s="27"/>
      <c r="C53" s="92"/>
      <c r="D53" s="92"/>
      <c r="E53" s="92"/>
      <c r="F53" s="92"/>
      <c r="G53" s="92"/>
      <c r="H53" s="92"/>
      <c r="I53" s="65"/>
      <c r="J53" s="65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</row>
    <row r="54" spans="2:24" ht="14.4" x14ac:dyDescent="0.3">
      <c r="B54" s="27"/>
      <c r="C54" s="92"/>
      <c r="D54" s="92"/>
      <c r="E54" s="92"/>
      <c r="F54" s="92"/>
      <c r="G54" s="92"/>
      <c r="H54" s="92"/>
      <c r="I54" s="65"/>
      <c r="J54" s="65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</row>
    <row r="55" spans="2:24" ht="14.4" x14ac:dyDescent="0.3">
      <c r="B55" s="27"/>
      <c r="C55" s="92"/>
      <c r="D55" s="92"/>
      <c r="E55" s="92"/>
      <c r="F55" s="92"/>
      <c r="G55" s="92"/>
      <c r="H55" s="92"/>
      <c r="I55" s="65"/>
      <c r="J55" s="65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</row>
    <row r="56" spans="2:24" ht="14.4" x14ac:dyDescent="0.3">
      <c r="B56" s="27"/>
      <c r="C56" s="92"/>
      <c r="D56" s="92"/>
      <c r="E56" s="92"/>
      <c r="F56" s="92"/>
      <c r="G56" s="92"/>
      <c r="H56" s="92"/>
      <c r="I56" s="65"/>
      <c r="J56" s="65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</row>
    <row r="57" spans="2:24" ht="14.4" x14ac:dyDescent="0.3">
      <c r="B57" s="27"/>
      <c r="C57" s="92"/>
      <c r="D57" s="92"/>
      <c r="E57" s="92"/>
      <c r="F57" s="92"/>
      <c r="G57" s="92"/>
      <c r="H57" s="92"/>
      <c r="I57" s="27"/>
      <c r="J57" s="65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</row>
    <row r="58" spans="2:24" ht="14.4" x14ac:dyDescent="0.3">
      <c r="B58" s="27"/>
      <c r="C58" s="92"/>
      <c r="D58" s="92"/>
      <c r="E58" s="92"/>
      <c r="F58" s="92"/>
      <c r="G58" s="92"/>
      <c r="H58" s="92"/>
      <c r="I58" s="27"/>
      <c r="J58" s="65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</row>
    <row r="59" spans="2:24" ht="14.4" x14ac:dyDescent="0.3">
      <c r="B59" s="27"/>
      <c r="C59" s="92"/>
      <c r="D59" s="92"/>
      <c r="E59" s="92"/>
      <c r="F59" s="92"/>
      <c r="G59" s="92"/>
      <c r="H59" s="92"/>
      <c r="I59" s="27"/>
      <c r="J59" s="65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</row>
    <row r="60" spans="2:24" ht="14.4" x14ac:dyDescent="0.3">
      <c r="B60" s="27"/>
      <c r="C60" s="92"/>
      <c r="D60" s="92"/>
      <c r="E60" s="92"/>
      <c r="F60" s="92"/>
      <c r="G60" s="92"/>
      <c r="H60" s="92"/>
      <c r="I60" s="27"/>
      <c r="J60" s="65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</row>
    <row r="61" spans="2:24" ht="14.4" x14ac:dyDescent="0.3">
      <c r="B61" s="27"/>
      <c r="C61" s="92"/>
      <c r="D61" s="92"/>
      <c r="E61" s="92"/>
      <c r="F61" s="92"/>
      <c r="G61" s="92"/>
      <c r="H61" s="92"/>
      <c r="I61" s="27"/>
      <c r="J61" s="65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</row>
    <row r="62" spans="2:24" ht="14.4" x14ac:dyDescent="0.3">
      <c r="B62" s="27"/>
      <c r="C62" s="92"/>
      <c r="D62" s="92"/>
      <c r="E62" s="92"/>
      <c r="F62" s="92"/>
      <c r="G62" s="92"/>
      <c r="H62" s="92"/>
      <c r="I62" s="27"/>
      <c r="J62" s="65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4.4" x14ac:dyDescent="0.3">
      <c r="B63" s="27"/>
      <c r="C63" s="92"/>
      <c r="D63" s="92"/>
      <c r="E63" s="92"/>
      <c r="F63" s="92"/>
      <c r="G63" s="92"/>
      <c r="H63" s="92"/>
      <c r="I63" s="27"/>
      <c r="J63" s="65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</row>
    <row r="64" spans="2:24" ht="14.4" x14ac:dyDescent="0.3">
      <c r="B64" s="27"/>
      <c r="C64" s="92"/>
      <c r="D64" s="92"/>
      <c r="E64" s="92"/>
      <c r="F64" s="92"/>
      <c r="G64" s="92"/>
      <c r="H64" s="92"/>
      <c r="I64" s="27"/>
      <c r="J64" s="65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</row>
    <row r="65" spans="2:24" ht="14.4" x14ac:dyDescent="0.3">
      <c r="B65" s="27"/>
      <c r="C65" s="92"/>
      <c r="D65" s="92"/>
      <c r="E65" s="92"/>
      <c r="F65" s="92"/>
      <c r="G65" s="92"/>
      <c r="H65" s="92"/>
      <c r="I65" s="27"/>
      <c r="J65" s="65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</row>
    <row r="66" spans="2:24" ht="14.4" x14ac:dyDescent="0.3">
      <c r="B66" s="27"/>
      <c r="C66" s="92"/>
      <c r="D66" s="92"/>
      <c r="E66" s="92"/>
      <c r="F66" s="92"/>
      <c r="G66" s="92"/>
      <c r="H66" s="92"/>
      <c r="I66" s="27"/>
      <c r="J66" s="65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</row>
    <row r="67" spans="2:24" ht="14.4" x14ac:dyDescent="0.3">
      <c r="B67" s="27"/>
      <c r="C67" s="92"/>
      <c r="D67" s="92"/>
      <c r="E67" s="92"/>
      <c r="F67" s="92"/>
      <c r="G67" s="92"/>
      <c r="H67" s="92"/>
      <c r="I67" s="27"/>
      <c r="J67" s="65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</row>
    <row r="68" spans="2:24" ht="14.4" x14ac:dyDescent="0.3">
      <c r="B68" s="27"/>
      <c r="C68" s="92"/>
      <c r="D68" s="92"/>
      <c r="E68" s="92"/>
      <c r="F68" s="92"/>
      <c r="G68" s="92"/>
      <c r="H68" s="92"/>
      <c r="I68" s="27"/>
      <c r="J68" s="65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</row>
    <row r="69" spans="2:24" ht="14.4" x14ac:dyDescent="0.3">
      <c r="B69" s="27"/>
      <c r="C69" s="92"/>
      <c r="D69" s="92"/>
      <c r="E69" s="92"/>
      <c r="F69" s="92"/>
      <c r="G69" s="92"/>
      <c r="H69" s="92"/>
      <c r="I69" s="27"/>
      <c r="J69" s="65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</row>
    <row r="70" spans="2:24" ht="14.4" x14ac:dyDescent="0.3">
      <c r="B70" s="27"/>
      <c r="C70" s="92"/>
      <c r="D70" s="92"/>
      <c r="E70" s="92"/>
      <c r="F70" s="92"/>
      <c r="G70" s="92"/>
      <c r="H70" s="92"/>
      <c r="I70" s="27"/>
      <c r="J70" s="65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</row>
    <row r="71" spans="2:24" ht="14.4" x14ac:dyDescent="0.3">
      <c r="B71" s="27"/>
      <c r="C71" s="92"/>
      <c r="D71" s="92"/>
      <c r="E71" s="92"/>
      <c r="F71" s="92"/>
      <c r="G71" s="92"/>
      <c r="H71" s="92"/>
      <c r="I71" s="27"/>
      <c r="J71" s="65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</row>
    <row r="72" spans="2:24" ht="14.4" x14ac:dyDescent="0.3">
      <c r="B72" s="27"/>
      <c r="C72" s="92"/>
      <c r="D72" s="92"/>
      <c r="E72" s="92"/>
      <c r="F72" s="92"/>
      <c r="G72" s="92"/>
      <c r="H72" s="92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</row>
    <row r="73" spans="2:24" ht="14.4" x14ac:dyDescent="0.3">
      <c r="B73" s="27"/>
      <c r="C73" s="92"/>
      <c r="D73" s="92"/>
      <c r="E73" s="92"/>
      <c r="F73" s="92"/>
      <c r="G73" s="92"/>
      <c r="H73" s="92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</row>
    <row r="74" spans="2:24" ht="14.4" x14ac:dyDescent="0.3">
      <c r="B74" s="27"/>
      <c r="C74" s="92"/>
      <c r="D74" s="92"/>
      <c r="E74" s="92"/>
      <c r="F74" s="92"/>
      <c r="G74" s="92"/>
      <c r="H74" s="92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</row>
    <row r="75" spans="2:24" ht="14.4" x14ac:dyDescent="0.3">
      <c r="B75" s="27"/>
      <c r="C75" s="92"/>
      <c r="D75" s="92"/>
      <c r="E75" s="92"/>
      <c r="F75" s="92"/>
      <c r="G75" s="92"/>
      <c r="H75" s="92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</row>
    <row r="76" spans="2:24" ht="14.4" x14ac:dyDescent="0.3">
      <c r="B76" s="27"/>
      <c r="C76" s="92"/>
      <c r="D76" s="92"/>
      <c r="E76" s="92"/>
      <c r="F76" s="92"/>
      <c r="G76" s="92"/>
      <c r="H76" s="92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</row>
    <row r="77" spans="2:24" ht="14.4" x14ac:dyDescent="0.3">
      <c r="B77" s="27"/>
      <c r="C77" s="92"/>
      <c r="D77" s="92"/>
      <c r="E77" s="92"/>
      <c r="F77" s="92"/>
      <c r="G77" s="92"/>
      <c r="H77" s="92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</row>
    <row r="78" spans="2:24" ht="14.4" x14ac:dyDescent="0.3">
      <c r="B78" s="27"/>
      <c r="C78" s="92"/>
      <c r="D78" s="92"/>
      <c r="E78" s="92"/>
      <c r="F78" s="92"/>
      <c r="G78" s="92"/>
      <c r="H78" s="92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</row>
    <row r="79" spans="2:24" ht="14.4" x14ac:dyDescent="0.3">
      <c r="B79" s="27"/>
      <c r="C79" s="92"/>
      <c r="D79" s="92"/>
      <c r="E79" s="92"/>
      <c r="F79" s="92"/>
      <c r="G79" s="92"/>
      <c r="H79" s="92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</row>
    <row r="80" spans="2:24" ht="14.4" x14ac:dyDescent="0.3">
      <c r="B80" s="27"/>
      <c r="C80" s="92"/>
      <c r="D80" s="92"/>
      <c r="E80" s="92"/>
      <c r="F80" s="92"/>
      <c r="G80" s="92"/>
      <c r="H80" s="92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</row>
    <row r="81" spans="2:24" ht="14.4" x14ac:dyDescent="0.3">
      <c r="B81" s="27"/>
      <c r="C81" s="92"/>
      <c r="D81" s="92"/>
      <c r="E81" s="92"/>
      <c r="F81" s="92"/>
      <c r="G81" s="92"/>
      <c r="H81" s="92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</row>
    <row r="82" spans="2:24" ht="14.4" x14ac:dyDescent="0.3">
      <c r="B82" s="27"/>
      <c r="C82" s="92"/>
      <c r="D82" s="92"/>
      <c r="E82" s="92"/>
      <c r="F82" s="92"/>
      <c r="G82" s="92"/>
      <c r="H82" s="92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</row>
    <row r="83" spans="2:24" ht="14.4" x14ac:dyDescent="0.3">
      <c r="B83" s="27"/>
      <c r="C83" s="92"/>
      <c r="D83" s="92"/>
      <c r="E83" s="92"/>
      <c r="F83" s="92"/>
      <c r="G83" s="92"/>
      <c r="H83" s="92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</row>
    <row r="84" spans="2:24" ht="14.4" x14ac:dyDescent="0.3">
      <c r="B84" s="27"/>
      <c r="C84" s="92"/>
      <c r="D84" s="92"/>
      <c r="E84" s="92"/>
      <c r="F84" s="92"/>
      <c r="G84" s="92"/>
      <c r="H84" s="92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</row>
    <row r="85" spans="2:24" ht="14.4" x14ac:dyDescent="0.3">
      <c r="B85" s="27"/>
      <c r="C85" s="92"/>
      <c r="D85" s="92"/>
      <c r="E85" s="92"/>
      <c r="F85" s="92"/>
      <c r="G85" s="92"/>
      <c r="H85" s="92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</row>
    <row r="86" spans="2:24" ht="14.4" x14ac:dyDescent="0.3">
      <c r="B86" s="27"/>
      <c r="C86" s="92"/>
      <c r="D86" s="92"/>
      <c r="E86" s="92"/>
      <c r="F86" s="92"/>
      <c r="G86" s="92"/>
      <c r="H86" s="92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</row>
    <row r="87" spans="2:24" ht="14.4" x14ac:dyDescent="0.3">
      <c r="B87" s="27"/>
      <c r="C87" s="92"/>
      <c r="D87" s="92"/>
      <c r="E87" s="92"/>
      <c r="F87" s="92"/>
      <c r="G87" s="92"/>
      <c r="H87" s="92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</row>
    <row r="88" spans="2:24" ht="14.4" x14ac:dyDescent="0.3">
      <c r="B88" s="27"/>
      <c r="C88" s="92"/>
      <c r="D88" s="92"/>
      <c r="E88" s="92"/>
      <c r="F88" s="92"/>
      <c r="G88" s="92"/>
      <c r="H88" s="92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</row>
    <row r="89" spans="2:24" ht="14.4" x14ac:dyDescent="0.3">
      <c r="B89" s="27"/>
      <c r="C89" s="92"/>
      <c r="D89" s="92"/>
      <c r="E89" s="92"/>
      <c r="F89" s="92"/>
      <c r="G89" s="92"/>
      <c r="H89" s="92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</row>
    <row r="90" spans="2:24" ht="14.4" x14ac:dyDescent="0.3">
      <c r="B90" s="27"/>
      <c r="C90" s="92"/>
      <c r="D90" s="92"/>
      <c r="E90" s="92"/>
      <c r="F90" s="92"/>
      <c r="G90" s="92"/>
      <c r="H90" s="92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</row>
    <row r="91" spans="2:24" ht="14.4" x14ac:dyDescent="0.3">
      <c r="B91" s="27"/>
      <c r="C91" s="92"/>
      <c r="D91" s="92"/>
      <c r="E91" s="92"/>
      <c r="F91" s="92"/>
      <c r="G91" s="92"/>
      <c r="H91" s="92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</row>
    <row r="92" spans="2:24" ht="14.4" x14ac:dyDescent="0.3">
      <c r="B92" s="27"/>
      <c r="C92" s="92"/>
      <c r="D92" s="92"/>
      <c r="E92" s="92"/>
      <c r="F92" s="92"/>
      <c r="G92" s="92"/>
      <c r="H92" s="92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</row>
    <row r="93" spans="2:24" ht="14.4" x14ac:dyDescent="0.3">
      <c r="B93" s="27"/>
      <c r="C93" s="92"/>
      <c r="D93" s="92"/>
      <c r="E93" s="92"/>
      <c r="F93" s="92"/>
      <c r="G93" s="92"/>
      <c r="H93" s="92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</row>
    <row r="94" spans="2:24" ht="14.4" x14ac:dyDescent="0.3">
      <c r="B94" s="27"/>
      <c r="C94" s="92"/>
      <c r="D94" s="92"/>
      <c r="E94" s="92"/>
      <c r="F94" s="92"/>
      <c r="G94" s="92"/>
      <c r="H94" s="92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</row>
    <row r="95" spans="2:24" ht="14.4" x14ac:dyDescent="0.3">
      <c r="B95" s="27"/>
      <c r="C95" s="92"/>
      <c r="D95" s="92"/>
      <c r="E95" s="92"/>
      <c r="F95" s="92"/>
      <c r="G95" s="92"/>
      <c r="H95" s="92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</row>
    <row r="96" spans="2:24" ht="14.4" x14ac:dyDescent="0.3">
      <c r="B96" s="27"/>
      <c r="C96" s="92"/>
      <c r="D96" s="92"/>
      <c r="E96" s="92"/>
      <c r="F96" s="92"/>
      <c r="G96" s="92"/>
      <c r="H96" s="92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</row>
    <row r="97" spans="2:24" ht="14.4" x14ac:dyDescent="0.3">
      <c r="B97" s="27"/>
      <c r="C97" s="92"/>
      <c r="D97" s="92"/>
      <c r="E97" s="92"/>
      <c r="F97" s="92"/>
      <c r="G97" s="92"/>
      <c r="H97" s="92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</row>
    <row r="98" spans="2:24" ht="14.4" x14ac:dyDescent="0.3">
      <c r="B98" s="27"/>
      <c r="C98" s="92"/>
      <c r="D98" s="92"/>
      <c r="E98" s="92"/>
      <c r="F98" s="92"/>
      <c r="G98" s="92"/>
      <c r="H98" s="92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</row>
    <row r="99" spans="2:24" ht="14.4" x14ac:dyDescent="0.3">
      <c r="B99" s="27"/>
      <c r="C99" s="92"/>
      <c r="D99" s="92"/>
      <c r="E99" s="92"/>
      <c r="F99" s="92"/>
      <c r="G99" s="92"/>
      <c r="H99" s="92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</row>
    <row r="100" spans="2:24" ht="14.4" x14ac:dyDescent="0.3">
      <c r="B100" s="27"/>
      <c r="C100" s="92"/>
      <c r="D100" s="92"/>
      <c r="E100" s="92"/>
      <c r="F100" s="92"/>
      <c r="G100" s="92"/>
      <c r="H100" s="92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</row>
    <row r="101" spans="2:24" ht="14.4" x14ac:dyDescent="0.3">
      <c r="B101" s="27"/>
      <c r="C101" s="92"/>
      <c r="D101" s="92"/>
      <c r="E101" s="92"/>
      <c r="F101" s="92"/>
      <c r="G101" s="92"/>
      <c r="H101" s="92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</row>
    <row r="102" spans="2:24" ht="14.4" x14ac:dyDescent="0.3">
      <c r="B102" s="27"/>
      <c r="C102" s="92"/>
      <c r="D102" s="92"/>
      <c r="E102" s="92"/>
      <c r="F102" s="92"/>
      <c r="G102" s="92"/>
      <c r="H102" s="92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</row>
    <row r="103" spans="2:24" ht="14.4" x14ac:dyDescent="0.3">
      <c r="B103" s="27"/>
      <c r="C103" s="92"/>
      <c r="D103" s="92"/>
      <c r="E103" s="92"/>
      <c r="F103" s="92"/>
      <c r="G103" s="92"/>
      <c r="H103" s="92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</row>
    <row r="104" spans="2:24" ht="14.4" x14ac:dyDescent="0.3">
      <c r="B104" s="27"/>
      <c r="C104" s="92"/>
      <c r="D104" s="92"/>
      <c r="E104" s="92"/>
      <c r="F104" s="92"/>
      <c r="G104" s="92"/>
      <c r="H104" s="92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</row>
    <row r="105" spans="2:24" ht="14.4" x14ac:dyDescent="0.3">
      <c r="B105" s="27"/>
      <c r="C105" s="92"/>
      <c r="D105" s="92"/>
      <c r="E105" s="92"/>
      <c r="F105" s="92"/>
      <c r="G105" s="92"/>
      <c r="H105" s="92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</row>
    <row r="106" spans="2:24" ht="14.4" x14ac:dyDescent="0.3">
      <c r="B106" s="27"/>
      <c r="C106" s="92"/>
      <c r="D106" s="92"/>
      <c r="E106" s="92"/>
      <c r="F106" s="92"/>
      <c r="G106" s="92"/>
      <c r="H106" s="92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</row>
    <row r="107" spans="2:24" ht="14.4" x14ac:dyDescent="0.3">
      <c r="B107" s="27"/>
      <c r="C107" s="92"/>
      <c r="D107" s="92"/>
      <c r="E107" s="92"/>
      <c r="F107" s="92"/>
      <c r="G107" s="92"/>
      <c r="H107" s="92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</row>
    <row r="108" spans="2:24" ht="14.4" x14ac:dyDescent="0.3">
      <c r="B108" s="27"/>
      <c r="C108" s="92"/>
      <c r="D108" s="92"/>
      <c r="E108" s="92"/>
      <c r="F108" s="92"/>
      <c r="G108" s="92"/>
      <c r="H108" s="92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</row>
    <row r="109" spans="2:24" ht="14.4" x14ac:dyDescent="0.3">
      <c r="B109" s="27"/>
      <c r="C109" s="92"/>
      <c r="D109" s="92"/>
      <c r="E109" s="92"/>
      <c r="F109" s="92"/>
      <c r="G109" s="92"/>
      <c r="H109" s="92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</row>
    <row r="110" spans="2:24" ht="14.4" x14ac:dyDescent="0.3">
      <c r="B110" s="27"/>
      <c r="C110" s="92"/>
      <c r="D110" s="92"/>
      <c r="E110" s="92"/>
      <c r="F110" s="92"/>
      <c r="G110" s="92"/>
      <c r="H110" s="92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</row>
    <row r="111" spans="2:24" ht="14.4" x14ac:dyDescent="0.3">
      <c r="B111" s="27"/>
      <c r="C111" s="92"/>
      <c r="D111" s="92"/>
      <c r="E111" s="92"/>
      <c r="F111" s="92"/>
      <c r="G111" s="92"/>
      <c r="H111" s="92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</row>
    <row r="112" spans="2:24" ht="14.4" x14ac:dyDescent="0.3">
      <c r="B112" s="27"/>
      <c r="C112" s="92"/>
      <c r="D112" s="92"/>
      <c r="E112" s="92"/>
      <c r="F112" s="92"/>
      <c r="G112" s="92"/>
      <c r="H112" s="92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</row>
    <row r="113" spans="2:24" ht="14.4" x14ac:dyDescent="0.3">
      <c r="B113" s="27"/>
      <c r="C113" s="92"/>
      <c r="D113" s="92"/>
      <c r="E113" s="92"/>
      <c r="F113" s="92"/>
      <c r="G113" s="92"/>
      <c r="H113" s="92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</row>
    <row r="114" spans="2:24" ht="14.4" x14ac:dyDescent="0.3">
      <c r="B114" s="27"/>
      <c r="C114" s="92"/>
      <c r="D114" s="92"/>
      <c r="E114" s="92"/>
      <c r="F114" s="92"/>
      <c r="G114" s="92"/>
      <c r="H114" s="92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</row>
    <row r="115" spans="2:24" ht="14.4" x14ac:dyDescent="0.3">
      <c r="B115" s="27"/>
      <c r="C115" s="92"/>
      <c r="D115" s="92"/>
      <c r="E115" s="92"/>
      <c r="F115" s="92"/>
      <c r="G115" s="92"/>
      <c r="H115" s="92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</row>
    <row r="116" spans="2:24" ht="14.4" x14ac:dyDescent="0.3">
      <c r="B116" s="27"/>
      <c r="C116" s="92"/>
      <c r="D116" s="92"/>
      <c r="E116" s="92"/>
      <c r="F116" s="92"/>
      <c r="G116" s="92"/>
      <c r="H116" s="92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</row>
    <row r="117" spans="2:24" ht="14.4" x14ac:dyDescent="0.3">
      <c r="B117" s="27"/>
      <c r="C117" s="92"/>
      <c r="D117" s="92"/>
      <c r="E117" s="92"/>
      <c r="F117" s="92"/>
      <c r="G117" s="92"/>
      <c r="H117" s="92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</row>
    <row r="118" spans="2:24" ht="14.4" x14ac:dyDescent="0.3">
      <c r="B118" s="27"/>
      <c r="C118" s="92"/>
      <c r="D118" s="92"/>
      <c r="E118" s="92"/>
      <c r="F118" s="92"/>
      <c r="G118" s="92"/>
      <c r="H118" s="92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</row>
    <row r="119" spans="2:24" ht="14.4" x14ac:dyDescent="0.3">
      <c r="B119" s="27"/>
      <c r="C119" s="92"/>
      <c r="D119" s="92"/>
      <c r="E119" s="92"/>
      <c r="F119" s="92"/>
      <c r="G119" s="92"/>
      <c r="H119" s="92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</row>
    <row r="120" spans="2:24" ht="14.4" x14ac:dyDescent="0.3">
      <c r="B120" s="27"/>
      <c r="C120" s="92"/>
      <c r="D120" s="92"/>
      <c r="E120" s="92"/>
      <c r="F120" s="92"/>
      <c r="G120" s="92"/>
      <c r="H120" s="92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</row>
    <row r="121" spans="2:24" ht="14.4" x14ac:dyDescent="0.3">
      <c r="B121" s="27"/>
      <c r="C121" s="92"/>
      <c r="D121" s="92"/>
      <c r="E121" s="92"/>
      <c r="F121" s="92"/>
      <c r="G121" s="92"/>
      <c r="H121" s="92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</row>
    <row r="122" spans="2:24" ht="14.4" x14ac:dyDescent="0.3">
      <c r="B122" s="27"/>
      <c r="C122" s="92"/>
      <c r="D122" s="92"/>
      <c r="E122" s="92"/>
      <c r="F122" s="92"/>
      <c r="G122" s="92"/>
      <c r="H122" s="92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</row>
    <row r="123" spans="2:24" ht="14.4" x14ac:dyDescent="0.3">
      <c r="B123" s="27"/>
      <c r="C123" s="92"/>
      <c r="D123" s="92"/>
      <c r="E123" s="92"/>
      <c r="F123" s="92"/>
      <c r="G123" s="92"/>
      <c r="H123" s="92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</row>
    <row r="124" spans="2:24" ht="14.4" x14ac:dyDescent="0.3">
      <c r="B124" s="27"/>
      <c r="C124" s="92"/>
      <c r="D124" s="92"/>
      <c r="E124" s="92"/>
      <c r="F124" s="92"/>
      <c r="G124" s="92"/>
      <c r="H124" s="92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</row>
    <row r="125" spans="2:24" ht="14.4" x14ac:dyDescent="0.3">
      <c r="B125" s="27"/>
      <c r="C125" s="92"/>
      <c r="D125" s="92"/>
      <c r="E125" s="92"/>
      <c r="F125" s="92"/>
      <c r="G125" s="92"/>
      <c r="H125" s="92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</row>
    <row r="126" spans="2:24" ht="14.4" x14ac:dyDescent="0.3">
      <c r="B126" s="27"/>
      <c r="C126" s="92"/>
      <c r="D126" s="92"/>
      <c r="E126" s="92"/>
      <c r="F126" s="92"/>
      <c r="G126" s="92"/>
      <c r="H126" s="92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</row>
    <row r="127" spans="2:24" ht="14.4" x14ac:dyDescent="0.3">
      <c r="B127" s="27"/>
      <c r="C127" s="92"/>
      <c r="D127" s="92"/>
      <c r="E127" s="92"/>
      <c r="F127" s="92"/>
      <c r="G127" s="92"/>
      <c r="H127" s="92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</row>
    <row r="128" spans="2:24" ht="14.4" x14ac:dyDescent="0.3">
      <c r="B128" s="27"/>
      <c r="C128" s="92"/>
      <c r="D128" s="92"/>
      <c r="E128" s="92"/>
      <c r="F128" s="92"/>
      <c r="G128" s="92"/>
      <c r="H128" s="92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</row>
    <row r="129" spans="2:24" ht="14.4" x14ac:dyDescent="0.3">
      <c r="B129" s="27"/>
      <c r="C129" s="92"/>
      <c r="D129" s="92"/>
      <c r="E129" s="92"/>
      <c r="F129" s="92"/>
      <c r="G129" s="92"/>
      <c r="H129" s="92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</row>
    <row r="130" spans="2:24" ht="14.4" x14ac:dyDescent="0.3">
      <c r="B130" s="27"/>
      <c r="C130" s="92"/>
      <c r="D130" s="92"/>
      <c r="E130" s="92"/>
      <c r="F130" s="92"/>
      <c r="G130" s="92"/>
      <c r="H130" s="92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</row>
    <row r="131" spans="2:24" ht="14.4" x14ac:dyDescent="0.3">
      <c r="B131" s="27"/>
      <c r="C131" s="92"/>
      <c r="D131" s="92"/>
      <c r="E131" s="92"/>
      <c r="F131" s="92"/>
      <c r="G131" s="92"/>
      <c r="H131" s="92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</row>
    <row r="132" spans="2:24" ht="14.4" x14ac:dyDescent="0.3">
      <c r="B132" s="27"/>
      <c r="C132" s="92"/>
      <c r="D132" s="92"/>
      <c r="E132" s="92"/>
      <c r="F132" s="92"/>
      <c r="G132" s="92"/>
      <c r="H132" s="92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</row>
    <row r="133" spans="2:24" ht="14.4" x14ac:dyDescent="0.3">
      <c r="B133" s="27"/>
      <c r="C133" s="92"/>
      <c r="D133" s="92"/>
      <c r="E133" s="92"/>
      <c r="F133" s="92"/>
      <c r="G133" s="92"/>
      <c r="H133" s="92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</row>
    <row r="134" spans="2:24" ht="14.4" x14ac:dyDescent="0.3">
      <c r="B134" s="27"/>
      <c r="C134" s="92"/>
      <c r="D134" s="92"/>
      <c r="E134" s="92"/>
      <c r="F134" s="92"/>
      <c r="G134" s="92"/>
      <c r="H134" s="92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</row>
    <row r="135" spans="2:24" ht="14.4" x14ac:dyDescent="0.3">
      <c r="B135" s="27"/>
      <c r="C135" s="92"/>
      <c r="D135" s="92"/>
      <c r="E135" s="92"/>
      <c r="F135" s="92"/>
      <c r="G135" s="92"/>
      <c r="H135" s="92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</row>
    <row r="136" spans="2:24" ht="14.4" x14ac:dyDescent="0.3">
      <c r="B136" s="27"/>
      <c r="C136" s="92"/>
      <c r="D136" s="92"/>
      <c r="E136" s="92"/>
      <c r="F136" s="92"/>
      <c r="G136" s="92"/>
      <c r="H136" s="92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</row>
    <row r="137" spans="2:24" ht="14.4" x14ac:dyDescent="0.3">
      <c r="B137" s="27"/>
      <c r="C137" s="92"/>
      <c r="D137" s="92"/>
      <c r="E137" s="92"/>
      <c r="F137" s="92"/>
      <c r="G137" s="92"/>
      <c r="H137" s="92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</row>
    <row r="138" spans="2:24" ht="14.4" x14ac:dyDescent="0.3">
      <c r="B138" s="27"/>
      <c r="C138" s="92"/>
      <c r="D138" s="92"/>
      <c r="E138" s="92"/>
      <c r="F138" s="92"/>
      <c r="G138" s="92"/>
      <c r="H138" s="92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</row>
    <row r="139" spans="2:24" ht="14.4" x14ac:dyDescent="0.3">
      <c r="B139" s="27"/>
      <c r="C139" s="92"/>
      <c r="D139" s="92"/>
      <c r="E139" s="92"/>
      <c r="F139" s="92"/>
      <c r="G139" s="92"/>
      <c r="H139" s="92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</row>
    <row r="140" spans="2:24" ht="14.4" x14ac:dyDescent="0.3">
      <c r="B140" s="27"/>
      <c r="C140" s="92"/>
      <c r="D140" s="92"/>
      <c r="E140" s="92"/>
      <c r="F140" s="92"/>
      <c r="G140" s="92"/>
      <c r="H140" s="92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</row>
    <row r="141" spans="2:24" ht="14.4" x14ac:dyDescent="0.3">
      <c r="B141" s="27"/>
      <c r="C141" s="92"/>
      <c r="D141" s="92"/>
      <c r="E141" s="92"/>
      <c r="F141" s="92"/>
      <c r="G141" s="92"/>
      <c r="H141" s="92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</row>
    <row r="142" spans="2:24" ht="14.4" x14ac:dyDescent="0.3">
      <c r="B142" s="27"/>
      <c r="C142" s="92"/>
      <c r="D142" s="92"/>
      <c r="E142" s="92"/>
      <c r="F142" s="92"/>
      <c r="G142" s="92"/>
      <c r="H142" s="92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</row>
    <row r="143" spans="2:24" ht="14.4" x14ac:dyDescent="0.3">
      <c r="B143" s="27"/>
      <c r="C143" s="92"/>
      <c r="D143" s="92"/>
      <c r="E143" s="92"/>
      <c r="F143" s="92"/>
      <c r="G143" s="92"/>
      <c r="H143" s="92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</row>
    <row r="144" spans="2:24" ht="14.4" x14ac:dyDescent="0.3">
      <c r="B144" s="27"/>
      <c r="C144" s="92"/>
      <c r="D144" s="92"/>
      <c r="E144" s="92"/>
      <c r="F144" s="92"/>
      <c r="G144" s="92"/>
      <c r="H144" s="92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</row>
    <row r="145" spans="2:24" ht="14.4" x14ac:dyDescent="0.3">
      <c r="B145" s="27"/>
      <c r="C145" s="92"/>
      <c r="D145" s="92"/>
      <c r="E145" s="92"/>
      <c r="F145" s="92"/>
      <c r="G145" s="92"/>
      <c r="H145" s="92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</row>
    <row r="146" spans="2:24" ht="14.4" x14ac:dyDescent="0.3">
      <c r="B146" s="27"/>
      <c r="C146" s="92"/>
      <c r="D146" s="92"/>
      <c r="E146" s="92"/>
      <c r="F146" s="92"/>
      <c r="G146" s="92"/>
      <c r="H146" s="92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</row>
    <row r="147" spans="2:24" ht="14.4" x14ac:dyDescent="0.3">
      <c r="B147" s="27"/>
      <c r="C147" s="92"/>
      <c r="D147" s="92"/>
      <c r="E147" s="92"/>
      <c r="F147" s="92"/>
      <c r="G147" s="92"/>
      <c r="H147" s="92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</row>
    <row r="148" spans="2:24" ht="14.4" x14ac:dyDescent="0.3">
      <c r="B148" s="27"/>
      <c r="C148" s="92"/>
      <c r="D148" s="92"/>
      <c r="E148" s="92"/>
      <c r="F148" s="92"/>
      <c r="G148" s="92"/>
      <c r="H148" s="92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</row>
    <row r="149" spans="2:24" ht="14.4" x14ac:dyDescent="0.3">
      <c r="B149" s="27"/>
      <c r="C149" s="92"/>
      <c r="D149" s="92"/>
      <c r="E149" s="92"/>
      <c r="F149" s="92"/>
      <c r="G149" s="92"/>
      <c r="H149" s="92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</row>
    <row r="150" spans="2:24" ht="14.4" x14ac:dyDescent="0.3">
      <c r="B150" s="27"/>
      <c r="C150" s="92"/>
      <c r="D150" s="92"/>
      <c r="E150" s="92"/>
      <c r="F150" s="92"/>
      <c r="G150" s="92"/>
      <c r="H150" s="92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</row>
    <row r="151" spans="2:24" ht="14.4" x14ac:dyDescent="0.3">
      <c r="B151" s="27"/>
      <c r="C151" s="92"/>
      <c r="D151" s="92"/>
      <c r="E151" s="92"/>
      <c r="F151" s="92"/>
      <c r="G151" s="92"/>
      <c r="H151" s="92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</row>
    <row r="152" spans="2:24" ht="14.4" x14ac:dyDescent="0.3">
      <c r="B152" s="27"/>
      <c r="C152" s="92"/>
      <c r="D152" s="92"/>
      <c r="E152" s="92"/>
      <c r="F152" s="92"/>
      <c r="G152" s="92"/>
      <c r="H152" s="92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</row>
    <row r="153" spans="2:24" ht="14.4" x14ac:dyDescent="0.3">
      <c r="B153" s="27"/>
      <c r="C153" s="92"/>
      <c r="D153" s="92"/>
      <c r="E153" s="92"/>
      <c r="F153" s="92"/>
      <c r="G153" s="92"/>
      <c r="H153" s="92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</row>
    <row r="154" spans="2:24" ht="14.4" x14ac:dyDescent="0.3">
      <c r="B154" s="27"/>
      <c r="C154" s="92"/>
      <c r="D154" s="92"/>
      <c r="E154" s="92"/>
      <c r="F154" s="92"/>
      <c r="G154" s="92"/>
      <c r="H154" s="92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</row>
    <row r="155" spans="2:24" ht="14.4" x14ac:dyDescent="0.3">
      <c r="B155" s="27"/>
      <c r="C155" s="92"/>
      <c r="D155" s="92"/>
      <c r="E155" s="92"/>
      <c r="F155" s="92"/>
      <c r="G155" s="92"/>
      <c r="H155" s="92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</row>
    <row r="156" spans="2:24" ht="14.4" x14ac:dyDescent="0.3">
      <c r="B156" s="27"/>
      <c r="C156" s="92"/>
      <c r="D156" s="92"/>
      <c r="E156" s="92"/>
      <c r="F156" s="92"/>
      <c r="G156" s="92"/>
      <c r="H156" s="92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</row>
    <row r="157" spans="2:24" ht="14.4" x14ac:dyDescent="0.3">
      <c r="B157" s="27"/>
      <c r="C157" s="92"/>
      <c r="D157" s="92"/>
      <c r="E157" s="92"/>
      <c r="F157" s="92"/>
      <c r="G157" s="92"/>
      <c r="H157" s="92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</row>
    <row r="158" spans="2:24" ht="14.4" x14ac:dyDescent="0.3">
      <c r="B158" s="27"/>
      <c r="C158" s="92"/>
      <c r="D158" s="92"/>
      <c r="E158" s="92"/>
      <c r="F158" s="92"/>
      <c r="G158" s="92"/>
      <c r="H158" s="92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</row>
    <row r="159" spans="2:24" ht="14.4" x14ac:dyDescent="0.3">
      <c r="B159" s="27"/>
      <c r="C159" s="92"/>
      <c r="D159" s="92"/>
      <c r="E159" s="92"/>
      <c r="F159" s="92"/>
      <c r="G159" s="92"/>
      <c r="H159" s="92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</row>
    <row r="160" spans="2:24" ht="14.4" x14ac:dyDescent="0.3">
      <c r="B160" s="27"/>
      <c r="C160" s="92"/>
      <c r="D160" s="92"/>
      <c r="E160" s="92"/>
      <c r="F160" s="92"/>
      <c r="G160" s="92"/>
      <c r="H160" s="92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</row>
    <row r="161" spans="2:24" ht="14.4" x14ac:dyDescent="0.3">
      <c r="B161" s="27"/>
      <c r="C161" s="92"/>
      <c r="D161" s="92"/>
      <c r="E161" s="92"/>
      <c r="F161" s="92"/>
      <c r="G161" s="92"/>
      <c r="H161" s="92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</row>
    <row r="162" spans="2:24" ht="14.4" x14ac:dyDescent="0.3">
      <c r="B162" s="27"/>
      <c r="C162" s="92"/>
      <c r="D162" s="92"/>
      <c r="E162" s="92"/>
      <c r="F162" s="92"/>
      <c r="G162" s="92"/>
      <c r="H162" s="92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</row>
    <row r="163" spans="2:24" ht="14.4" x14ac:dyDescent="0.3">
      <c r="B163" s="27"/>
      <c r="C163" s="92"/>
      <c r="D163" s="92"/>
      <c r="E163" s="92"/>
      <c r="F163" s="92"/>
      <c r="G163" s="92"/>
      <c r="H163" s="92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</row>
    <row r="164" spans="2:24" ht="14.4" x14ac:dyDescent="0.3">
      <c r="B164" s="27"/>
      <c r="C164" s="92"/>
      <c r="D164" s="92"/>
      <c r="E164" s="92"/>
      <c r="F164" s="92"/>
      <c r="G164" s="92"/>
      <c r="H164" s="92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</row>
    <row r="165" spans="2:24" ht="14.4" x14ac:dyDescent="0.3">
      <c r="B165" s="27"/>
      <c r="C165" s="92"/>
      <c r="D165" s="92"/>
      <c r="E165" s="92"/>
      <c r="F165" s="92"/>
      <c r="G165" s="92"/>
      <c r="H165" s="92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</row>
    <row r="166" spans="2:24" ht="14.4" x14ac:dyDescent="0.3">
      <c r="B166" s="27"/>
      <c r="C166" s="92"/>
      <c r="D166" s="92"/>
      <c r="E166" s="92"/>
      <c r="F166" s="92"/>
      <c r="G166" s="92"/>
      <c r="H166" s="92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</row>
    <row r="167" spans="2:24" ht="14.4" x14ac:dyDescent="0.3">
      <c r="B167" s="27"/>
      <c r="C167" s="92"/>
      <c r="D167" s="92"/>
      <c r="E167" s="92"/>
      <c r="F167" s="92"/>
      <c r="G167" s="92"/>
      <c r="H167" s="92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</row>
    <row r="168" spans="2:24" ht="14.4" x14ac:dyDescent="0.3">
      <c r="B168" s="27"/>
      <c r="C168" s="92"/>
      <c r="D168" s="92"/>
      <c r="E168" s="92"/>
      <c r="F168" s="92"/>
      <c r="G168" s="92"/>
      <c r="H168" s="92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</row>
    <row r="169" spans="2:24" ht="14.4" x14ac:dyDescent="0.3">
      <c r="B169" s="27"/>
      <c r="C169" s="92"/>
      <c r="D169" s="92"/>
      <c r="E169" s="92"/>
      <c r="F169" s="92"/>
      <c r="G169" s="92"/>
      <c r="H169" s="92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</row>
    <row r="170" spans="2:24" ht="14.4" x14ac:dyDescent="0.3">
      <c r="B170" s="27"/>
      <c r="C170" s="92"/>
      <c r="D170" s="92"/>
      <c r="E170" s="92"/>
      <c r="F170" s="92"/>
      <c r="G170" s="92"/>
      <c r="H170" s="92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</row>
    <row r="171" spans="2:24" ht="14.4" x14ac:dyDescent="0.3"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</row>
    <row r="172" spans="2:24" ht="14.4" x14ac:dyDescent="0.3"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</row>
    <row r="173" spans="2:24" ht="14.4" x14ac:dyDescent="0.3"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</row>
    <row r="174" spans="2:24" ht="14.4" x14ac:dyDescent="0.3"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</row>
    <row r="175" spans="2:24" ht="14.4" x14ac:dyDescent="0.3"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</row>
    <row r="176" spans="2:24" ht="14.4" x14ac:dyDescent="0.3"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</row>
    <row r="177" spans="2:24" ht="14.4" x14ac:dyDescent="0.3"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</row>
    <row r="178" spans="2:24" ht="14.4" x14ac:dyDescent="0.3"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</row>
    <row r="179" spans="2:24" ht="14.4" x14ac:dyDescent="0.3"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</row>
    <row r="180" spans="2:24" ht="14.4" x14ac:dyDescent="0.3"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</row>
    <row r="181" spans="2:24" ht="14.4" x14ac:dyDescent="0.3"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</row>
    <row r="182" spans="2:24" ht="14.4" x14ac:dyDescent="0.3"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</row>
    <row r="183" spans="2:24" ht="14.4" x14ac:dyDescent="0.3"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</row>
    <row r="184" spans="2:24" ht="14.4" x14ac:dyDescent="0.3"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</row>
    <row r="185" spans="2:24" ht="14.4" x14ac:dyDescent="0.3"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</row>
    <row r="186" spans="2:24" ht="14.4" x14ac:dyDescent="0.3"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</row>
    <row r="187" spans="2:24" ht="14.4" x14ac:dyDescent="0.3"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</row>
    <row r="188" spans="2:24" ht="14.4" x14ac:dyDescent="0.3"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</row>
    <row r="189" spans="2:24" ht="14.4" x14ac:dyDescent="0.3"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</row>
    <row r="190" spans="2:24" ht="14.4" x14ac:dyDescent="0.3"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</row>
    <row r="191" spans="2:24" ht="14.4" x14ac:dyDescent="0.3"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</row>
    <row r="192" spans="2:24" ht="14.4" x14ac:dyDescent="0.3"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</row>
    <row r="193" spans="2:24" ht="14.4" x14ac:dyDescent="0.3"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</row>
    <row r="194" spans="2:24" ht="14.4" x14ac:dyDescent="0.3"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</row>
    <row r="195" spans="2:24" ht="14.4" x14ac:dyDescent="0.3"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</row>
    <row r="196" spans="2:24" ht="14.4" x14ac:dyDescent="0.3"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</row>
    <row r="197" spans="2:24" ht="14.4" x14ac:dyDescent="0.3"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</row>
    <row r="198" spans="2:24" ht="14.4" x14ac:dyDescent="0.3"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</row>
    <row r="199" spans="2:24" ht="14.4" x14ac:dyDescent="0.3"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</row>
    <row r="200" spans="2:24" ht="14.4" x14ac:dyDescent="0.3"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</row>
    <row r="201" spans="2:24" ht="14.4" x14ac:dyDescent="0.3"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</row>
    <row r="202" spans="2:24" ht="14.4" x14ac:dyDescent="0.3"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</row>
    <row r="203" spans="2:24" ht="14.4" x14ac:dyDescent="0.3"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</row>
    <row r="204" spans="2:24" ht="14.4" x14ac:dyDescent="0.3"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</row>
    <row r="205" spans="2:24" ht="14.4" x14ac:dyDescent="0.3"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</row>
    <row r="206" spans="2:24" ht="14.4" x14ac:dyDescent="0.3"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</row>
    <row r="207" spans="2:24" ht="14.4" x14ac:dyDescent="0.3"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</row>
    <row r="208" spans="2:24" ht="14.4" x14ac:dyDescent="0.3"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</row>
    <row r="209" spans="2:24" ht="14.4" x14ac:dyDescent="0.3"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</row>
    <row r="210" spans="2:24" ht="14.4" x14ac:dyDescent="0.3"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</row>
    <row r="211" spans="2:24" ht="14.4" x14ac:dyDescent="0.3"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</row>
    <row r="212" spans="2:24" ht="14.4" x14ac:dyDescent="0.3"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</row>
    <row r="213" spans="2:24" ht="14.4" x14ac:dyDescent="0.3"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</row>
    <row r="214" spans="2:24" ht="14.4" x14ac:dyDescent="0.3"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</row>
    <row r="215" spans="2:24" ht="14.4" x14ac:dyDescent="0.3"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</row>
    <row r="216" spans="2:24" ht="14.4" x14ac:dyDescent="0.3"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</row>
    <row r="217" spans="2:24" ht="14.4" x14ac:dyDescent="0.3"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</row>
    <row r="218" spans="2:24" ht="14.4" x14ac:dyDescent="0.3"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</row>
    <row r="219" spans="2:24" ht="14.4" x14ac:dyDescent="0.3"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</row>
    <row r="220" spans="2:24" ht="14.4" x14ac:dyDescent="0.3"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</row>
    <row r="221" spans="2:24" ht="14.4" x14ac:dyDescent="0.3"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</row>
    <row r="222" spans="2:24" ht="14.4" x14ac:dyDescent="0.3"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</row>
    <row r="223" spans="2:24" ht="14.4" x14ac:dyDescent="0.3"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</row>
    <row r="224" spans="2:24" ht="14.4" x14ac:dyDescent="0.3"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</row>
    <row r="225" spans="2:24" ht="14.4" x14ac:dyDescent="0.3"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</row>
    <row r="226" spans="2:24" ht="14.4" x14ac:dyDescent="0.3"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</row>
    <row r="227" spans="2:24" ht="14.4" x14ac:dyDescent="0.3"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</row>
    <row r="228" spans="2:24" ht="14.4" x14ac:dyDescent="0.3"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</row>
    <row r="229" spans="2:24" ht="14.4" x14ac:dyDescent="0.3"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</row>
    <row r="230" spans="2:24" ht="14.4" x14ac:dyDescent="0.3"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</row>
    <row r="231" spans="2:24" ht="14.4" x14ac:dyDescent="0.3"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</row>
    <row r="232" spans="2:24" ht="14.4" x14ac:dyDescent="0.3"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</row>
    <row r="233" spans="2:24" ht="14.4" x14ac:dyDescent="0.3"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</row>
    <row r="234" spans="2:24" ht="14.4" x14ac:dyDescent="0.3"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</row>
    <row r="235" spans="2:24" ht="14.4" x14ac:dyDescent="0.3"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</row>
    <row r="236" spans="2:24" ht="14.4" x14ac:dyDescent="0.3"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</row>
    <row r="237" spans="2:24" ht="14.4" x14ac:dyDescent="0.3"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</row>
    <row r="238" spans="2:24" ht="14.4" x14ac:dyDescent="0.3"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</row>
    <row r="239" spans="2:24" ht="14.4" x14ac:dyDescent="0.3"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</row>
    <row r="240" spans="2:24" ht="14.4" x14ac:dyDescent="0.3"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</row>
    <row r="241" spans="2:24" ht="14.4" x14ac:dyDescent="0.3"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</row>
    <row r="242" spans="2:24" ht="14.4" x14ac:dyDescent="0.3"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</row>
    <row r="243" spans="2:24" ht="14.4" x14ac:dyDescent="0.3"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</row>
    <row r="244" spans="2:24" ht="14.4" x14ac:dyDescent="0.3"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</row>
    <row r="245" spans="2:24" ht="14.4" x14ac:dyDescent="0.3"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</row>
    <row r="246" spans="2:24" ht="14.4" x14ac:dyDescent="0.3"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</row>
    <row r="247" spans="2:24" ht="14.4" x14ac:dyDescent="0.3"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</row>
    <row r="248" spans="2:24" ht="14.4" x14ac:dyDescent="0.3"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</row>
    <row r="249" spans="2:24" ht="14.4" x14ac:dyDescent="0.3"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</row>
    <row r="250" spans="2:24" ht="14.4" x14ac:dyDescent="0.3"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</row>
    <row r="251" spans="2:24" ht="14.4" x14ac:dyDescent="0.3"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</row>
    <row r="252" spans="2:24" ht="14.4" x14ac:dyDescent="0.3"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</row>
    <row r="253" spans="2:24" ht="14.4" x14ac:dyDescent="0.3"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</row>
    <row r="254" spans="2:24" ht="14.4" x14ac:dyDescent="0.3"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</row>
    <row r="255" spans="2:24" ht="14.4" x14ac:dyDescent="0.3"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</row>
    <row r="256" spans="2:24" ht="14.4" x14ac:dyDescent="0.3"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</row>
    <row r="257" spans="2:24" ht="14.4" x14ac:dyDescent="0.3"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</row>
    <row r="258" spans="2:24" ht="14.4" x14ac:dyDescent="0.3"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</row>
    <row r="259" spans="2:24" ht="14.4" x14ac:dyDescent="0.3"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</row>
    <row r="260" spans="2:24" ht="14.4" x14ac:dyDescent="0.3"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</row>
    <row r="261" spans="2:24" ht="14.4" x14ac:dyDescent="0.3"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</row>
    <row r="262" spans="2:24" ht="14.4" x14ac:dyDescent="0.3"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</row>
    <row r="263" spans="2:24" ht="14.4" x14ac:dyDescent="0.3"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</row>
    <row r="264" spans="2:24" ht="14.4" x14ac:dyDescent="0.3"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</row>
    <row r="265" spans="2:24" ht="14.4" x14ac:dyDescent="0.3"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</row>
    <row r="266" spans="2:24" ht="14.4" x14ac:dyDescent="0.3"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</row>
    <row r="267" spans="2:24" ht="14.4" x14ac:dyDescent="0.3"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</row>
    <row r="268" spans="2:24" ht="14.4" x14ac:dyDescent="0.3"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</row>
    <row r="269" spans="2:24" ht="14.4" x14ac:dyDescent="0.3"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</row>
    <row r="270" spans="2:24" ht="14.4" x14ac:dyDescent="0.3"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</row>
    <row r="271" spans="2:24" ht="14.4" x14ac:dyDescent="0.3"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</row>
    <row r="272" spans="2:24" ht="14.4" x14ac:dyDescent="0.3"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</row>
    <row r="273" spans="2:24" ht="14.4" x14ac:dyDescent="0.3"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</row>
    <row r="274" spans="2:24" ht="14.4" x14ac:dyDescent="0.3"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</row>
    <row r="275" spans="2:24" ht="14.4" x14ac:dyDescent="0.3"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</row>
    <row r="276" spans="2:24" ht="14.4" x14ac:dyDescent="0.3"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</row>
    <row r="277" spans="2:24" ht="14.4" x14ac:dyDescent="0.3"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</row>
    <row r="278" spans="2:24" ht="14.4" x14ac:dyDescent="0.3"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</row>
    <row r="279" spans="2:24" ht="14.4" x14ac:dyDescent="0.3"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</row>
    <row r="280" spans="2:24" ht="14.4" x14ac:dyDescent="0.3"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</row>
    <row r="281" spans="2:24" ht="14.4" x14ac:dyDescent="0.3"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</row>
    <row r="282" spans="2:24" ht="14.4" x14ac:dyDescent="0.3"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</row>
    <row r="283" spans="2:24" ht="14.4" x14ac:dyDescent="0.3"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</row>
    <row r="284" spans="2:24" ht="14.4" x14ac:dyDescent="0.3"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</row>
    <row r="285" spans="2:24" ht="14.4" x14ac:dyDescent="0.3"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</row>
    <row r="286" spans="2:24" ht="14.4" x14ac:dyDescent="0.3"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</row>
    <row r="287" spans="2:24" ht="14.4" x14ac:dyDescent="0.3"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</row>
    <row r="288" spans="2:24" ht="14.4" x14ac:dyDescent="0.3"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</row>
    <row r="289" spans="2:24" ht="14.4" x14ac:dyDescent="0.3"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</row>
    <row r="290" spans="2:24" ht="14.4" x14ac:dyDescent="0.3"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</row>
    <row r="291" spans="2:24" ht="14.4" x14ac:dyDescent="0.3"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</row>
    <row r="292" spans="2:24" ht="14.4" x14ac:dyDescent="0.3"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</row>
    <row r="293" spans="2:24" ht="14.4" x14ac:dyDescent="0.3"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</row>
    <row r="294" spans="2:24" ht="14.4" x14ac:dyDescent="0.3"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</row>
    <row r="295" spans="2:24" ht="14.4" x14ac:dyDescent="0.3"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</row>
    <row r="296" spans="2:24" ht="14.4" x14ac:dyDescent="0.3"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</row>
    <row r="297" spans="2:24" ht="14.4" x14ac:dyDescent="0.3"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</row>
    <row r="298" spans="2:24" ht="14.4" x14ac:dyDescent="0.3"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</row>
    <row r="299" spans="2:24" ht="14.4" x14ac:dyDescent="0.3"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</row>
    <row r="300" spans="2:24" ht="14.4" x14ac:dyDescent="0.3"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</row>
    <row r="301" spans="2:24" ht="14.4" x14ac:dyDescent="0.3"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</row>
    <row r="302" spans="2:24" ht="14.4" x14ac:dyDescent="0.3"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</row>
    <row r="303" spans="2:24" ht="14.4" x14ac:dyDescent="0.3"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</row>
    <row r="304" spans="2:24" ht="14.4" x14ac:dyDescent="0.3"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</row>
    <row r="305" spans="2:24" ht="14.4" x14ac:dyDescent="0.3"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</row>
    <row r="306" spans="2:24" ht="14.4" x14ac:dyDescent="0.3"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</row>
    <row r="307" spans="2:24" ht="14.4" x14ac:dyDescent="0.3"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</row>
    <row r="308" spans="2:24" ht="14.4" x14ac:dyDescent="0.3"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</row>
    <row r="309" spans="2:24" ht="14.4" x14ac:dyDescent="0.3"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</row>
    <row r="310" spans="2:24" ht="14.4" x14ac:dyDescent="0.3"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</row>
    <row r="311" spans="2:24" ht="14.4" x14ac:dyDescent="0.3"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</row>
    <row r="312" spans="2:24" ht="14.4" x14ac:dyDescent="0.3"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</row>
    <row r="313" spans="2:24" ht="14.4" x14ac:dyDescent="0.3"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</row>
    <row r="314" spans="2:24" ht="14.4" x14ac:dyDescent="0.3"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</row>
    <row r="315" spans="2:24" ht="14.4" x14ac:dyDescent="0.3"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</row>
    <row r="316" spans="2:24" ht="14.4" x14ac:dyDescent="0.3"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</row>
    <row r="317" spans="2:24" ht="14.4" x14ac:dyDescent="0.3"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</row>
    <row r="318" spans="2:24" ht="14.4" x14ac:dyDescent="0.3"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</row>
    <row r="319" spans="2:24" ht="14.4" x14ac:dyDescent="0.3"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</row>
    <row r="320" spans="2:24" ht="14.4" x14ac:dyDescent="0.3"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</row>
    <row r="321" spans="2:24" ht="14.4" x14ac:dyDescent="0.3"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</row>
    <row r="322" spans="2:24" ht="14.4" x14ac:dyDescent="0.3"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</row>
    <row r="323" spans="2:24" ht="14.4" x14ac:dyDescent="0.3"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</row>
    <row r="324" spans="2:24" ht="14.4" x14ac:dyDescent="0.3"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</row>
    <row r="325" spans="2:24" ht="14.4" x14ac:dyDescent="0.3"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</row>
    <row r="326" spans="2:24" ht="14.4" x14ac:dyDescent="0.3"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</row>
    <row r="327" spans="2:24" ht="14.4" x14ac:dyDescent="0.3"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</row>
    <row r="328" spans="2:24" ht="14.4" x14ac:dyDescent="0.3"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</row>
    <row r="329" spans="2:24" ht="14.4" x14ac:dyDescent="0.3"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</row>
    <row r="330" spans="2:24" ht="14.4" x14ac:dyDescent="0.3"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</row>
    <row r="331" spans="2:24" ht="14.4" x14ac:dyDescent="0.3"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</row>
    <row r="332" spans="2:24" ht="14.4" x14ac:dyDescent="0.3"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</row>
    <row r="333" spans="2:24" ht="14.4" x14ac:dyDescent="0.3"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</row>
    <row r="334" spans="2:24" ht="14.4" x14ac:dyDescent="0.3"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</row>
    <row r="335" spans="2:24" ht="14.4" x14ac:dyDescent="0.3"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</row>
    <row r="336" spans="2:24" ht="14.4" x14ac:dyDescent="0.3"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</row>
    <row r="337" spans="2:24" ht="14.4" x14ac:dyDescent="0.3"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</row>
    <row r="338" spans="2:24" ht="14.4" x14ac:dyDescent="0.3"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</row>
    <row r="339" spans="2:24" ht="14.4" x14ac:dyDescent="0.3"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</row>
    <row r="340" spans="2:24" ht="14.4" x14ac:dyDescent="0.3"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</row>
    <row r="341" spans="2:24" ht="14.4" x14ac:dyDescent="0.3"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</row>
    <row r="342" spans="2:24" ht="14.4" x14ac:dyDescent="0.3"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</row>
    <row r="343" spans="2:24" ht="14.4" x14ac:dyDescent="0.3"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</row>
    <row r="344" spans="2:24" ht="14.4" x14ac:dyDescent="0.3"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</row>
    <row r="345" spans="2:24" ht="14.4" x14ac:dyDescent="0.3"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</row>
    <row r="346" spans="2:24" ht="14.4" x14ac:dyDescent="0.3"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</row>
    <row r="347" spans="2:24" ht="14.4" x14ac:dyDescent="0.3"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</row>
    <row r="348" spans="2:24" ht="14.4" x14ac:dyDescent="0.3"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</row>
    <row r="349" spans="2:24" ht="14.4" x14ac:dyDescent="0.3"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</row>
    <row r="350" spans="2:24" ht="14.4" x14ac:dyDescent="0.3"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</row>
    <row r="351" spans="2:24" ht="14.4" x14ac:dyDescent="0.3"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</row>
    <row r="352" spans="2:24" ht="14.4" x14ac:dyDescent="0.3"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</row>
    <row r="353" spans="2:24" ht="14.4" x14ac:dyDescent="0.3"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</row>
    <row r="354" spans="2:24" ht="14.4" x14ac:dyDescent="0.3"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</row>
    <row r="355" spans="2:24" ht="14.4" x14ac:dyDescent="0.3"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</row>
    <row r="356" spans="2:24" ht="14.4" x14ac:dyDescent="0.3"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</row>
    <row r="357" spans="2:24" ht="14.4" x14ac:dyDescent="0.3"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</row>
    <row r="358" spans="2:24" ht="14.4" x14ac:dyDescent="0.3"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</row>
    <row r="359" spans="2:24" ht="14.4" x14ac:dyDescent="0.3"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</row>
    <row r="360" spans="2:24" ht="14.4" x14ac:dyDescent="0.3"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</row>
    <row r="361" spans="2:24" ht="14.4" x14ac:dyDescent="0.3"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</row>
    <row r="362" spans="2:24" ht="14.4" x14ac:dyDescent="0.3"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</row>
    <row r="363" spans="2:24" ht="14.4" x14ac:dyDescent="0.3"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</row>
    <row r="364" spans="2:24" ht="14.4" x14ac:dyDescent="0.3"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</row>
    <row r="365" spans="2:24" ht="14.4" x14ac:dyDescent="0.3"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</row>
    <row r="366" spans="2:24" ht="14.4" x14ac:dyDescent="0.3"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</row>
    <row r="367" spans="2:24" ht="14.4" x14ac:dyDescent="0.3"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</row>
    <row r="368" spans="2:24" ht="14.4" x14ac:dyDescent="0.3"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</row>
    <row r="369" spans="2:24" ht="14.4" x14ac:dyDescent="0.3"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</row>
    <row r="370" spans="2:24" ht="14.4" x14ac:dyDescent="0.3"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</row>
    <row r="371" spans="2:24" ht="14.4" x14ac:dyDescent="0.3"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</row>
    <row r="372" spans="2:24" ht="14.4" x14ac:dyDescent="0.3"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</row>
    <row r="373" spans="2:24" ht="14.4" x14ac:dyDescent="0.3"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</row>
    <row r="374" spans="2:24" ht="14.4" x14ac:dyDescent="0.3"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</row>
    <row r="375" spans="2:24" ht="14.4" x14ac:dyDescent="0.3"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</row>
    <row r="376" spans="2:24" ht="14.4" x14ac:dyDescent="0.3"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</row>
    <row r="377" spans="2:24" ht="14.4" x14ac:dyDescent="0.3"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</row>
    <row r="378" spans="2:24" ht="14.4" x14ac:dyDescent="0.3"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</row>
    <row r="379" spans="2:24" ht="14.4" x14ac:dyDescent="0.3"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</row>
    <row r="380" spans="2:24" ht="14.4" x14ac:dyDescent="0.3"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</row>
    <row r="381" spans="2:24" ht="14.4" x14ac:dyDescent="0.3"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</row>
    <row r="382" spans="2:24" ht="14.4" x14ac:dyDescent="0.3"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</row>
    <row r="383" spans="2:24" ht="14.4" x14ac:dyDescent="0.3"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</row>
    <row r="384" spans="2:24" ht="14.4" x14ac:dyDescent="0.3"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</row>
    <row r="385" spans="2:24" ht="14.4" x14ac:dyDescent="0.3"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</row>
    <row r="386" spans="2:24" ht="14.4" x14ac:dyDescent="0.3"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</row>
    <row r="387" spans="2:24" ht="14.4" x14ac:dyDescent="0.3"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</row>
    <row r="388" spans="2:24" ht="14.4" x14ac:dyDescent="0.3"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</row>
    <row r="389" spans="2:24" ht="14.4" x14ac:dyDescent="0.3"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</row>
    <row r="390" spans="2:24" ht="14.4" x14ac:dyDescent="0.3"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</row>
    <row r="391" spans="2:24" ht="14.4" x14ac:dyDescent="0.3"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</row>
    <row r="392" spans="2:24" ht="14.4" x14ac:dyDescent="0.3"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</row>
    <row r="393" spans="2:24" ht="14.4" x14ac:dyDescent="0.3"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</row>
    <row r="394" spans="2:24" ht="14.4" x14ac:dyDescent="0.3"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</row>
    <row r="395" spans="2:24" ht="14.4" x14ac:dyDescent="0.3"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</row>
    <row r="396" spans="2:24" ht="14.4" x14ac:dyDescent="0.3"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</row>
    <row r="397" spans="2:24" ht="14.4" x14ac:dyDescent="0.3"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</row>
    <row r="398" spans="2:24" ht="14.4" x14ac:dyDescent="0.3"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</row>
    <row r="399" spans="2:24" ht="14.4" x14ac:dyDescent="0.3"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</row>
    <row r="400" spans="2:24" ht="14.4" x14ac:dyDescent="0.3"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</row>
    <row r="401" spans="2:24" ht="14.4" x14ac:dyDescent="0.3"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</row>
    <row r="402" spans="2:24" ht="14.4" x14ac:dyDescent="0.3"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</row>
    <row r="403" spans="2:24" ht="14.4" x14ac:dyDescent="0.3"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</row>
    <row r="404" spans="2:24" ht="14.4" x14ac:dyDescent="0.3"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</row>
    <row r="405" spans="2:24" ht="14.4" x14ac:dyDescent="0.3"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</row>
    <row r="406" spans="2:24" ht="14.4" x14ac:dyDescent="0.3"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</row>
    <row r="407" spans="2:24" ht="14.4" x14ac:dyDescent="0.3"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</row>
    <row r="408" spans="2:24" ht="14.4" x14ac:dyDescent="0.3"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</row>
    <row r="409" spans="2:24" ht="14.4" x14ac:dyDescent="0.3"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</row>
    <row r="410" spans="2:24" ht="14.4" x14ac:dyDescent="0.3"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</row>
    <row r="411" spans="2:24" ht="14.4" x14ac:dyDescent="0.3"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</row>
    <row r="1048441" spans="44:46" x14ac:dyDescent="0.25">
      <c r="AR1048441" s="8"/>
      <c r="AT1048441" s="8"/>
    </row>
  </sheetData>
  <mergeCells count="3">
    <mergeCell ref="C9:E9"/>
    <mergeCell ref="F9:H9"/>
    <mergeCell ref="I9:J9"/>
  </mergeCells>
  <dataValidations count="2">
    <dataValidation type="list" allowBlank="1" showInputMessage="1" showErrorMessage="1" sqref="M10" xr:uid="{F6411367-E361-43B5-B2B6-86F02299C87C}">
      <formula1>"Flat100, Flat150, XXX,ZZZ,YYY,ZYX"</formula1>
    </dataValidation>
    <dataValidation type="list" allowBlank="1" showInputMessage="1" showErrorMessage="1" sqref="N10" xr:uid="{BC1F5249-7B85-4FBE-B286-E6A271BB1AED}">
      <formula1>"Flat100, Flat150, XXX,YYY,ZZZ,XYZ"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1462-DEE2-464F-96B5-2E1DADC04517}">
  <sheetPr codeName="Sheet5"/>
  <dimension ref="B1:BF1048442"/>
  <sheetViews>
    <sheetView showGridLines="0" workbookViewId="0">
      <pane ySplit="7" topLeftCell="A8" activePane="bottomLeft" state="frozen"/>
      <selection pane="bottomLeft" activeCell="E27" sqref="E27"/>
    </sheetView>
  </sheetViews>
  <sheetFormatPr defaultColWidth="9.109375" defaultRowHeight="13.2" x14ac:dyDescent="0.25"/>
  <cols>
    <col min="1" max="2" width="9.109375" style="4"/>
    <col min="3" max="3" width="12.109375" style="4" customWidth="1"/>
    <col min="4" max="4" width="11.33203125" style="4" customWidth="1"/>
    <col min="5" max="5" width="10.109375" style="4" customWidth="1"/>
    <col min="6" max="6" width="11.109375" style="4" customWidth="1"/>
    <col min="7" max="7" width="9.109375" style="4"/>
    <col min="8" max="8" width="9.109375" style="4" customWidth="1"/>
    <col min="9" max="22" width="7.77734375" style="4" customWidth="1"/>
    <col min="23" max="23" width="8.21875" style="4" customWidth="1"/>
    <col min="24" max="24" width="8.6640625" style="4" customWidth="1"/>
    <col min="25" max="25" width="11.5546875" style="4" bestFit="1" customWidth="1"/>
    <col min="26" max="26" width="9.6640625" style="4" bestFit="1" customWidth="1"/>
    <col min="27" max="27" width="9.109375" style="4" customWidth="1"/>
    <col min="28" max="28" width="9.44140625" style="4" customWidth="1"/>
    <col min="29" max="29" width="9.88671875" style="4" bestFit="1" customWidth="1"/>
    <col min="30" max="31" width="10.6640625" style="4" bestFit="1" customWidth="1"/>
    <col min="32" max="32" width="9.6640625" style="4" bestFit="1" customWidth="1"/>
    <col min="33" max="33" width="10.5546875" style="4" bestFit="1" customWidth="1"/>
    <col min="34" max="35" width="9.109375" style="4"/>
    <col min="36" max="36" width="9.5546875" style="4" bestFit="1" customWidth="1"/>
    <col min="37" max="37" width="12.33203125" style="4" bestFit="1" customWidth="1"/>
    <col min="38" max="39" width="9.109375" style="4"/>
    <col min="40" max="40" width="10.33203125" style="4" bestFit="1" customWidth="1"/>
    <col min="41" max="41" width="9.5546875" style="4" bestFit="1" customWidth="1"/>
    <col min="42" max="72" width="9.109375" style="4"/>
    <col min="73" max="73" width="12.33203125" style="4" bestFit="1" customWidth="1"/>
    <col min="74" max="16384" width="9.109375" style="4"/>
  </cols>
  <sheetData>
    <row r="1" spans="2:35" x14ac:dyDescent="0.25"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2:35" x14ac:dyDescent="0.25"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x14ac:dyDescent="0.25"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2:35" x14ac:dyDescent="0.2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x14ac:dyDescent="0.2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x14ac:dyDescent="0.25"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x14ac:dyDescent="0.25"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ht="13.8" thickBot="1" x14ac:dyDescent="0.3"/>
    <row r="9" spans="2:35" ht="15" thickBot="1" x14ac:dyDescent="0.35">
      <c r="B9" s="24"/>
      <c r="C9" s="25" t="s">
        <v>40</v>
      </c>
      <c r="D9" s="26" t="s">
        <v>41</v>
      </c>
      <c r="E9" s="27"/>
      <c r="F9" s="27"/>
      <c r="G9" s="27"/>
      <c r="H9" s="24"/>
      <c r="I9" s="168" t="s">
        <v>49</v>
      </c>
      <c r="J9" s="157"/>
      <c r="K9" s="157"/>
      <c r="L9" s="169"/>
      <c r="M9" s="168" t="s">
        <v>50</v>
      </c>
      <c r="N9" s="157"/>
      <c r="O9" s="157"/>
      <c r="P9" s="169"/>
      <c r="Q9" s="168" t="s">
        <v>54</v>
      </c>
      <c r="R9" s="157"/>
      <c r="S9" s="157"/>
      <c r="T9" s="169"/>
      <c r="U9" s="162" t="s">
        <v>55</v>
      </c>
      <c r="V9" s="163"/>
    </row>
    <row r="10" spans="2:35" ht="14.4" x14ac:dyDescent="0.3">
      <c r="B10" s="28" t="s">
        <v>22</v>
      </c>
      <c r="C10" s="29" t="s">
        <v>48</v>
      </c>
      <c r="D10" s="30" t="s">
        <v>47</v>
      </c>
      <c r="E10" s="27"/>
      <c r="F10" s="27"/>
      <c r="G10" s="27"/>
      <c r="H10" s="28"/>
      <c r="I10" s="166" t="s">
        <v>51</v>
      </c>
      <c r="J10" s="167"/>
      <c r="K10" s="166" t="s">
        <v>52</v>
      </c>
      <c r="L10" s="167"/>
      <c r="M10" s="166" t="s">
        <v>51</v>
      </c>
      <c r="N10" s="167"/>
      <c r="O10" s="166" t="s">
        <v>52</v>
      </c>
      <c r="P10" s="167"/>
      <c r="Q10" s="166" t="s">
        <v>51</v>
      </c>
      <c r="R10" s="167"/>
      <c r="S10" s="166" t="s">
        <v>52</v>
      </c>
      <c r="T10" s="167"/>
      <c r="U10" s="164"/>
      <c r="V10" s="165"/>
      <c r="AD10" s="18"/>
      <c r="AE10" s="19" t="s">
        <v>45</v>
      </c>
      <c r="AF10" s="14" t="s">
        <v>41</v>
      </c>
    </row>
    <row r="11" spans="2:35" ht="15" thickBot="1" x14ac:dyDescent="0.35">
      <c r="B11" s="31" t="s">
        <v>8</v>
      </c>
      <c r="C11" s="32">
        <v>0.6</v>
      </c>
      <c r="D11" s="33">
        <v>0.6</v>
      </c>
      <c r="E11" s="27"/>
      <c r="F11" s="27"/>
      <c r="G11" s="27"/>
      <c r="H11" s="34"/>
      <c r="I11" s="35" t="s">
        <v>6</v>
      </c>
      <c r="J11" s="35" t="s">
        <v>7</v>
      </c>
      <c r="K11" s="35" t="s">
        <v>6</v>
      </c>
      <c r="L11" s="35" t="s">
        <v>7</v>
      </c>
      <c r="M11" s="35" t="s">
        <v>6</v>
      </c>
      <c r="N11" s="35" t="s">
        <v>7</v>
      </c>
      <c r="O11" s="35" t="s">
        <v>6</v>
      </c>
      <c r="P11" s="35" t="s">
        <v>7</v>
      </c>
      <c r="Q11" s="36" t="s">
        <v>6</v>
      </c>
      <c r="R11" s="37" t="s">
        <v>7</v>
      </c>
      <c r="S11" s="36" t="s">
        <v>6</v>
      </c>
      <c r="T11" s="37" t="s">
        <v>7</v>
      </c>
      <c r="U11" s="36" t="s">
        <v>56</v>
      </c>
      <c r="V11" s="38" t="s">
        <v>41</v>
      </c>
      <c r="AD11" s="17">
        <v>1</v>
      </c>
      <c r="AE11" s="20" cm="1">
        <f t="array" aca="1" ref="AE11:AE16" ca="1">INDIRECT(Spread)</f>
        <v>1.4999999999999999E-2</v>
      </c>
      <c r="AF11" s="15" cm="1">
        <f t="array" aca="1" ref="AF11:AF16" ca="1">INDIRECT(OwnSpread)</f>
        <v>0.01</v>
      </c>
    </row>
    <row r="12" spans="2:35" ht="15" thickBot="1" x14ac:dyDescent="0.35">
      <c r="B12" s="27"/>
      <c r="C12" s="27"/>
      <c r="D12" s="27"/>
      <c r="E12" s="27"/>
      <c r="F12" s="27"/>
      <c r="G12" s="27"/>
      <c r="H12" s="39">
        <v>0</v>
      </c>
      <c r="I12" s="40">
        <v>1.5643534887323621E-2</v>
      </c>
      <c r="J12" s="41">
        <v>0</v>
      </c>
      <c r="K12" s="42">
        <v>-1.5337368223195969E-2</v>
      </c>
      <c r="L12" s="43">
        <v>0</v>
      </c>
      <c r="M12" s="40">
        <v>3.0616666412765171E-4</v>
      </c>
      <c r="N12" s="41">
        <v>1.5337368223195577E-2</v>
      </c>
      <c r="O12" s="44">
        <v>0</v>
      </c>
      <c r="P12" s="43">
        <v>-1.5337368223195577E-2</v>
      </c>
      <c r="Q12" s="44">
        <v>1.5643534887323621E-2</v>
      </c>
      <c r="R12" s="43">
        <v>0</v>
      </c>
      <c r="S12" s="44">
        <v>-1.5337368223195577E-2</v>
      </c>
      <c r="T12" s="43">
        <v>0</v>
      </c>
      <c r="U12" s="45" cm="1">
        <f t="array" aca="1" ref="U12" ca="1">EXP(-Cubic_SPline(CSTenor,CntrptyCS,H12)*H12/LGD_C)</f>
        <v>1</v>
      </c>
      <c r="V12" s="46" cm="1">
        <f t="array" aca="1" ref="V12" ca="1">EXP(-Cubic_SPline(CSTenor,OwnCS,H12)*H12/LGD_Own)</f>
        <v>1</v>
      </c>
      <c r="W12" s="23"/>
      <c r="AD12" s="5">
        <v>3</v>
      </c>
      <c r="AE12" s="20">
        <f ca="1"/>
        <v>1.4999999999999999E-2</v>
      </c>
      <c r="AF12" s="15">
        <f ca="1"/>
        <v>0.01</v>
      </c>
    </row>
    <row r="13" spans="2:35" ht="14.4" x14ac:dyDescent="0.3">
      <c r="B13" s="170" t="s">
        <v>14</v>
      </c>
      <c r="C13" s="157"/>
      <c r="D13" s="157"/>
      <c r="E13" s="157"/>
      <c r="F13" s="158"/>
      <c r="G13" s="27"/>
      <c r="H13" s="39">
        <v>0.25</v>
      </c>
      <c r="I13" s="40">
        <v>2.1501585477892937E-2</v>
      </c>
      <c r="J13" s="44">
        <v>-5.9467215422489865E-3</v>
      </c>
      <c r="K13" s="42">
        <v>3.8379128717822074E-3</v>
      </c>
      <c r="L13" s="43">
        <v>-3.6385941061911784E-3</v>
      </c>
      <c r="M13" s="40">
        <v>1.3486908424727393E-2</v>
      </c>
      <c r="N13" s="44">
        <v>2.0679555109165571E-3</v>
      </c>
      <c r="O13" s="44">
        <v>1.1852589924947752E-2</v>
      </c>
      <c r="P13" s="43">
        <v>-1.1653271159356722E-2</v>
      </c>
      <c r="Q13" s="44">
        <v>1.8040187560475353E-2</v>
      </c>
      <c r="R13" s="43">
        <v>-2.4853236248314021E-3</v>
      </c>
      <c r="S13" s="44">
        <v>7.2993107891997948E-3</v>
      </c>
      <c r="T13" s="43">
        <v>-7.0999920236087645E-3</v>
      </c>
      <c r="U13" s="45" cm="1">
        <f t="array" aca="1" ref="U13" ca="1">EXP(-Cubic_SPline(CSTenor,CntrptyCS,H13)*H13/LGD_C)</f>
        <v>0.99376949100324352</v>
      </c>
      <c r="V13" s="46" cm="1">
        <f t="array" aca="1" ref="V13" ca="1">EXP(-Cubic_SPline(CSTenor,OwnCS,H13)*H13/LGD_Own)</f>
        <v>0.99584200184124561</v>
      </c>
      <c r="W13" s="23"/>
      <c r="AC13" s="12"/>
      <c r="AD13" s="5">
        <v>5</v>
      </c>
      <c r="AE13" s="20">
        <f ca="1"/>
        <v>1.4999999999999999E-2</v>
      </c>
      <c r="AF13" s="15">
        <f ca="1"/>
        <v>0.01</v>
      </c>
    </row>
    <row r="14" spans="2:35" ht="14.4" x14ac:dyDescent="0.3">
      <c r="B14" s="34"/>
      <c r="C14" s="36" t="s">
        <v>42</v>
      </c>
      <c r="D14" s="37" t="s">
        <v>50</v>
      </c>
      <c r="E14" s="36" t="s">
        <v>49</v>
      </c>
      <c r="F14" s="48" t="s">
        <v>54</v>
      </c>
      <c r="G14" s="27"/>
      <c r="H14" s="39">
        <v>0.5</v>
      </c>
      <c r="I14" s="40">
        <v>2.5631651573617277E-2</v>
      </c>
      <c r="J14" s="44">
        <v>-9.1455768940913538E-3</v>
      </c>
      <c r="K14" s="42">
        <v>6.1960155102117782E-3</v>
      </c>
      <c r="L14" s="43">
        <v>-5.5506228351090096E-3</v>
      </c>
      <c r="M14" s="40">
        <v>1.5084394160742897E-2</v>
      </c>
      <c r="N14" s="44">
        <v>1.4016805187829994E-3</v>
      </c>
      <c r="O14" s="44">
        <v>1.674327292308616E-2</v>
      </c>
      <c r="P14" s="43">
        <v>-1.6097880247983361E-2</v>
      </c>
      <c r="Q14" s="44">
        <v>2.0711531386614242E-2</v>
      </c>
      <c r="R14" s="43">
        <v>-4.2254567070883096E-3</v>
      </c>
      <c r="S14" s="44">
        <v>1.1116135697214799E-2</v>
      </c>
      <c r="T14" s="43">
        <v>-1.0470743022112044E-2</v>
      </c>
      <c r="U14" s="45" cm="1">
        <f t="array" aca="1" ref="U14" ca="1">EXP(-Cubic_SPline(CSTenor,CntrptyCS,H14)*H14/LGD_C)</f>
        <v>0.98757780134465345</v>
      </c>
      <c r="V14" s="46" cm="1">
        <f t="array" aca="1" ref="V14" ca="1">EXP(-Cubic_SPline(CSTenor,OwnCS,H14)*H14/LGD_Own)</f>
        <v>0.99170129320842548</v>
      </c>
      <c r="W14" s="23"/>
      <c r="AD14" s="5">
        <v>7</v>
      </c>
      <c r="AE14" s="20">
        <f ca="1"/>
        <v>1.4999999999999999E-2</v>
      </c>
      <c r="AF14" s="15">
        <f ca="1"/>
        <v>0.01</v>
      </c>
    </row>
    <row r="15" spans="2:35" ht="14.4" x14ac:dyDescent="0.3">
      <c r="B15" s="28" t="s">
        <v>51</v>
      </c>
      <c r="C15" s="49">
        <f ca="1">E15</f>
        <v>-26.275092246727862</v>
      </c>
      <c r="D15" s="50">
        <f ca="1">-LGD_C*(SUMPRODUCT(M13:M40,U12:U39)-SUMPRODUCT(M13:M40,U13:U40))*10000</f>
        <v>-13.721227307906258</v>
      </c>
      <c r="E15" s="49">
        <f ca="1">-LGD_C*(SUMPRODUCT(I13:I40,U12:U39)-SUMPRODUCT(I13:I40,U13:U40))*10000</f>
        <v>-26.275092246727862</v>
      </c>
      <c r="F15" s="51">
        <f ca="1">-LGD_C*(SUMPRODUCT(Q13:Q40,U12:U39)-SUMPRODUCT(Q13:Q40,U13:U40))*10000</f>
        <v>-17.708517998692773</v>
      </c>
      <c r="G15" s="27"/>
      <c r="H15" s="39">
        <v>0.75</v>
      </c>
      <c r="I15" s="40">
        <v>2.9183972430326492E-2</v>
      </c>
      <c r="J15" s="44">
        <v>-1.1125943389591289E-2</v>
      </c>
      <c r="K15" s="42">
        <v>7.6097495124408622E-3</v>
      </c>
      <c r="L15" s="43">
        <v>-6.609912263518398E-3</v>
      </c>
      <c r="M15" s="40">
        <v>1.6058051747318135E-2</v>
      </c>
      <c r="N15" s="44">
        <v>1.9999772934171235E-3</v>
      </c>
      <c r="O15" s="44">
        <v>2.0735670195449217E-2</v>
      </c>
      <c r="P15" s="43">
        <v>-1.973583294652681E-2</v>
      </c>
      <c r="Q15" s="44">
        <v>2.2969602730160882E-2</v>
      </c>
      <c r="R15" s="43">
        <v>-4.9115736894256553E-3</v>
      </c>
      <c r="S15" s="44">
        <v>1.3824119212606446E-2</v>
      </c>
      <c r="T15" s="43">
        <v>-1.282428196368403E-2</v>
      </c>
      <c r="U15" s="45" cm="1">
        <f t="array" aca="1" ref="U15" ca="1">EXP(-Cubic_SPline(CSTenor,CntrptyCS,H15)*H15/LGD_C)</f>
        <v>0.9814246891588001</v>
      </c>
      <c r="V15" s="46" cm="1">
        <f t="array" aca="1" ref="V15" ca="1">EXP(-Cubic_SPline(CSTenor,OwnCS,H15)*H15/LGD_Own)</f>
        <v>0.98757780105723048</v>
      </c>
      <c r="W15" s="23"/>
      <c r="AD15" s="5">
        <v>10</v>
      </c>
      <c r="AE15" s="20">
        <f ca="1"/>
        <v>1.4999999999999999E-2</v>
      </c>
      <c r="AF15" s="15">
        <f ca="1"/>
        <v>0.01</v>
      </c>
    </row>
    <row r="16" spans="2:35" ht="15" thickBot="1" x14ac:dyDescent="0.35">
      <c r="B16" s="28" t="s">
        <v>52</v>
      </c>
      <c r="C16" s="49">
        <f ca="1">D16</f>
        <v>-23.227981090358174</v>
      </c>
      <c r="D16" s="50">
        <f ca="1">-LGD_C*(SUMPRODUCT(O13:O40,U12:U39)-SUMPRODUCT(O13:O40,U13:U40))*10000</f>
        <v>-23.227981090358174</v>
      </c>
      <c r="E16" s="49">
        <f ca="1">-LGD_C*(SUMPRODUCT(K13:K40,U12:U39)-SUMPRODUCT(K13:K40,U13:U40))*10000</f>
        <v>-10.674116151537238</v>
      </c>
      <c r="F16" s="51">
        <f ca="1">-LGD_C*(SUMPRODUCT(S13:S40,U12:U39)-SUMPRODUCT(S13:S40,U13:U40))*10000</f>
        <v>-19.240690399570326</v>
      </c>
      <c r="G16" s="27"/>
      <c r="H16" s="39">
        <v>1</v>
      </c>
      <c r="I16" s="40">
        <v>3.2338238839481816E-2</v>
      </c>
      <c r="J16" s="44">
        <v>-1.2241836439678362E-2</v>
      </c>
      <c r="K16" s="42">
        <v>9.3034278671766044E-3</v>
      </c>
      <c r="L16" s="43">
        <v>-6.9824030521798775E-3</v>
      </c>
      <c r="M16" s="40">
        <v>1.7505653468118262E-2</v>
      </c>
      <c r="N16" s="44">
        <v>2.5907489316851517E-3</v>
      </c>
      <c r="O16" s="44">
        <v>2.4136013238540154E-2</v>
      </c>
      <c r="P16" s="43">
        <v>-2.1814988423543392E-2</v>
      </c>
      <c r="Q16" s="44">
        <v>2.4437767603675189E-2</v>
      </c>
      <c r="R16" s="43">
        <v>-4.3413652038717093E-3</v>
      </c>
      <c r="S16" s="44">
        <v>1.7203899102983266E-2</v>
      </c>
      <c r="T16" s="43">
        <v>-1.4882874287986528E-2</v>
      </c>
      <c r="U16" s="45" cm="1">
        <f t="array" aca="1" ref="U16" ca="1">EXP(-Cubic_SPline(CSTenor,CntrptyCS,H16)*H16/LGD_C)</f>
        <v>0.97530991257332955</v>
      </c>
      <c r="V16" s="46" cm="1">
        <f t="array" aca="1" ref="V16" ca="1">EXP(-Cubic_SPline(CSTenor,OwnCS,H16)*H16/LGD_Own)</f>
        <v>0.9834714541879892</v>
      </c>
      <c r="W16" s="23"/>
      <c r="AD16" s="6">
        <v>20</v>
      </c>
      <c r="AE16" s="21">
        <f ca="1"/>
        <v>1.4999999999999999E-2</v>
      </c>
      <c r="AF16" s="16">
        <f ca="1"/>
        <v>0.01</v>
      </c>
    </row>
    <row r="17" spans="2:27" ht="15" thickBot="1" x14ac:dyDescent="0.35">
      <c r="B17" s="31" t="s">
        <v>53</v>
      </c>
      <c r="C17" s="52">
        <f ca="1">C16+C15</f>
        <v>-49.503073337086036</v>
      </c>
      <c r="D17" s="53">
        <f ca="1">D16+D15</f>
        <v>-36.949208398264432</v>
      </c>
      <c r="E17" s="52">
        <f ca="1">E15+E16</f>
        <v>-36.9492083982651</v>
      </c>
      <c r="F17" s="54">
        <f ca="1">F15+F16</f>
        <v>-36.949208398263096</v>
      </c>
      <c r="G17" s="27"/>
      <c r="H17" s="39">
        <v>1.25</v>
      </c>
      <c r="I17" s="40">
        <v>3.5601785328853552E-2</v>
      </c>
      <c r="J17" s="44">
        <v>-1.2741722907603319E-2</v>
      </c>
      <c r="K17" s="42">
        <v>1.0578020573888937E-2</v>
      </c>
      <c r="L17" s="43">
        <v>-9.0927000236443647E-3</v>
      </c>
      <c r="M17" s="40">
        <v>1.9390426956323349E-2</v>
      </c>
      <c r="N17" s="44">
        <v>3.469635464926837E-3</v>
      </c>
      <c r="O17" s="44">
        <v>2.6789378946419144E-2</v>
      </c>
      <c r="P17" s="43">
        <v>-2.5304058396174521E-2</v>
      </c>
      <c r="Q17" s="44">
        <v>2.6915626718540073E-2</v>
      </c>
      <c r="R17" s="43">
        <v>-4.05556429728989E-3</v>
      </c>
      <c r="S17" s="44">
        <v>1.9264179184202378E-2</v>
      </c>
      <c r="T17" s="43">
        <v>-1.777885863395778E-2</v>
      </c>
      <c r="U17" s="45" cm="1">
        <f t="array" aca="1" ref="U17" ca="1">EXP(-Cubic_SPline(CSTenor,CntrptyCS,H17)*H17/LGD_C)</f>
        <v>0.96923323538841566</v>
      </c>
      <c r="V17" s="46" cm="1">
        <f t="array" aca="1" ref="V17" ca="1">EXP(-Cubic_SPline(CSTenor,OwnCS,H17)*H17/LGD_Own)</f>
        <v>0.97938218131223764</v>
      </c>
      <c r="W17" s="23"/>
    </row>
    <row r="18" spans="2:27" ht="15" thickBot="1" x14ac:dyDescent="0.35">
      <c r="B18" s="27"/>
      <c r="C18" s="27"/>
      <c r="D18" s="27"/>
      <c r="E18" s="27"/>
      <c r="F18" s="27"/>
      <c r="G18" s="27"/>
      <c r="H18" s="39">
        <v>1.5</v>
      </c>
      <c r="I18" s="40">
        <v>3.6920888755218435E-2</v>
      </c>
      <c r="J18" s="44">
        <v>-1.3377267229318241E-2</v>
      </c>
      <c r="K18" s="42">
        <v>1.015741477973342E-2</v>
      </c>
      <c r="L18" s="43">
        <v>-1.0477630659708992E-2</v>
      </c>
      <c r="M18" s="40">
        <v>1.8836410018918358E-2</v>
      </c>
      <c r="N18" s="44">
        <v>4.7072115069818118E-3</v>
      </c>
      <c r="O18" s="44">
        <v>2.8241893516033498E-2</v>
      </c>
      <c r="P18" s="43">
        <v>-2.8562109396009047E-2</v>
      </c>
      <c r="Q18" s="44">
        <v>2.6970547381763726E-2</v>
      </c>
      <c r="R18" s="43">
        <v>-3.4269258558635388E-3</v>
      </c>
      <c r="S18" s="44">
        <v>2.0107756153188119E-2</v>
      </c>
      <c r="T18" s="43">
        <v>-2.0427972033163683E-2</v>
      </c>
      <c r="U18" s="45" cm="1">
        <f t="array" aca="1" ref="U18" ca="1">EXP(-Cubic_SPline(CSTenor,CntrptyCS,H18)*H18/LGD_C)</f>
        <v>0.96319441908881498</v>
      </c>
      <c r="V18" s="46" cm="1">
        <f t="array" aca="1" ref="V18" ca="1">EXP(-Cubic_SPline(CSTenor,OwnCS,H18)*H18/LGD_Own)</f>
        <v>0.97530991257332955</v>
      </c>
      <c r="W18" s="23"/>
    </row>
    <row r="19" spans="2:27" ht="15" thickBot="1" x14ac:dyDescent="0.35">
      <c r="B19" s="159" t="s">
        <v>17</v>
      </c>
      <c r="C19" s="160"/>
      <c r="D19" s="160"/>
      <c r="E19" s="160"/>
      <c r="F19" s="161"/>
      <c r="G19" s="27"/>
      <c r="H19" s="39">
        <v>1.75</v>
      </c>
      <c r="I19" s="40">
        <v>3.8124095967932807E-2</v>
      </c>
      <c r="J19" s="44">
        <v>-1.3549895053602695E-2</v>
      </c>
      <c r="K19" s="42">
        <v>1.1295216841429956E-2</v>
      </c>
      <c r="L19" s="43">
        <v>-1.1617990702002944E-2</v>
      </c>
      <c r="M19" s="40">
        <v>1.9236652506087575E-2</v>
      </c>
      <c r="N19" s="44">
        <v>5.3375484082425918E-3</v>
      </c>
      <c r="O19" s="44">
        <v>3.018266030327519E-2</v>
      </c>
      <c r="P19" s="43">
        <v>-3.0505434163848228E-2</v>
      </c>
      <c r="Q19" s="44">
        <v>2.7361896349838669E-2</v>
      </c>
      <c r="R19" s="43">
        <v>-2.7876954355085526E-3</v>
      </c>
      <c r="S19" s="44">
        <v>2.2057416459524016E-2</v>
      </c>
      <c r="T19" s="43">
        <v>-2.2380190320097082E-2</v>
      </c>
      <c r="U19" s="45" cm="1">
        <f t="array" aca="1" ref="U19" ca="1">EXP(-Cubic_SPline(CSTenor,CntrptyCS,H19)*H19/LGD_C)</f>
        <v>0.95719322778077642</v>
      </c>
      <c r="V19" s="46" cm="1">
        <f t="array" aca="1" ref="V19" ca="1">EXP(-Cubic_SPline(CSTenor,OwnCS,H19)*H19/LGD_Own)</f>
        <v>0.97125457650642744</v>
      </c>
      <c r="W19" s="23"/>
    </row>
    <row r="20" spans="2:27" ht="14.4" x14ac:dyDescent="0.3">
      <c r="B20" s="34"/>
      <c r="C20" s="36" t="s">
        <v>42</v>
      </c>
      <c r="D20" s="37" t="s">
        <v>50</v>
      </c>
      <c r="E20" s="36" t="s">
        <v>49</v>
      </c>
      <c r="F20" s="48" t="s">
        <v>54</v>
      </c>
      <c r="G20" s="27"/>
      <c r="H20" s="39">
        <v>2</v>
      </c>
      <c r="I20" s="40">
        <v>3.8364850444997829E-2</v>
      </c>
      <c r="J20" s="44">
        <v>-1.3876491469243871E-2</v>
      </c>
      <c r="K20" s="42">
        <v>1.1704119029373499E-2</v>
      </c>
      <c r="L20" s="43">
        <v>-1.3937659462657979E-2</v>
      </c>
      <c r="M20" s="40">
        <v>1.8311980695574933E-2</v>
      </c>
      <c r="N20" s="44">
        <v>6.1763782801790117E-3</v>
      </c>
      <c r="O20" s="44">
        <v>3.1756988778796395E-2</v>
      </c>
      <c r="P20" s="43">
        <v>-3.3990529212080858E-2</v>
      </c>
      <c r="Q20" s="44">
        <v>2.6743690277132463E-2</v>
      </c>
      <c r="R20" s="43">
        <v>-2.2553313013785065E-3</v>
      </c>
      <c r="S20" s="44">
        <v>2.3325279197238893E-2</v>
      </c>
      <c r="T20" s="43">
        <v>-2.5558819630523352E-2</v>
      </c>
      <c r="U20" s="45" cm="1">
        <f t="array" aca="1" ref="U20" ca="1">EXP(-Cubic_SPline(CSTenor,CntrptyCS,H20)*H20/LGD_C)</f>
        <v>0.95122942556379575</v>
      </c>
      <c r="V20" s="46" cm="1">
        <f t="array" aca="1" ref="V20" ca="1">EXP(-Cubic_SPline(CSTenor,OwnCS,H20)*H20/LGD_Own)</f>
        <v>0.96721610120263801</v>
      </c>
      <c r="W20" s="23"/>
    </row>
    <row r="21" spans="2:27" ht="14.4" x14ac:dyDescent="0.3">
      <c r="B21" s="28" t="s">
        <v>51</v>
      </c>
      <c r="C21" s="49">
        <f ca="1">E21</f>
        <v>6.0249470274971184</v>
      </c>
      <c r="D21" s="50">
        <f ca="1">-LGD_Own*(SUMPRODUCT(N13:N40,V12:V39)-SUMPRODUCT(N13:N40,V13:V40))*10000</f>
        <v>-2.5303141148996788</v>
      </c>
      <c r="E21" s="49">
        <f ca="1">-LGD_Own*(SUMPRODUCT(J13:J40,V12:V39)-SUMPRODUCT(J13:J40,V13:V40))*10000</f>
        <v>6.0249470274971184</v>
      </c>
      <c r="F21" s="51">
        <f ca="1">-LGD_Own*(SUMPRODUCT(R13:R40,V12:V39)-SUMPRODUCT(R13:R40,V13:V40))*10000</f>
        <v>0.1740664304967724</v>
      </c>
      <c r="G21" s="27"/>
      <c r="H21" s="39">
        <v>2.25</v>
      </c>
      <c r="I21" s="40">
        <v>3.8584753212513825E-2</v>
      </c>
      <c r="J21" s="44">
        <v>-1.3438102353898458E-2</v>
      </c>
      <c r="K21" s="42">
        <v>1.3045044436095341E-2</v>
      </c>
      <c r="L21" s="43">
        <v>-1.6267111330083597E-2</v>
      </c>
      <c r="M21" s="40">
        <v>1.7701396289616679E-2</v>
      </c>
      <c r="N21" s="44">
        <v>7.4452545689986313E-3</v>
      </c>
      <c r="O21" s="44">
        <v>3.3928401358992485E-2</v>
      </c>
      <c r="P21" s="43">
        <v>-3.7150468252980684E-2</v>
      </c>
      <c r="Q21" s="44">
        <v>2.6158384908798928E-2</v>
      </c>
      <c r="R21" s="43">
        <v>-1.0117340501835661E-3</v>
      </c>
      <c r="S21" s="44">
        <v>2.5471412739810299E-2</v>
      </c>
      <c r="T21" s="43">
        <v>-2.8693479633798476E-2</v>
      </c>
      <c r="U21" s="45" cm="1">
        <f t="array" aca="1" ref="U21" ca="1">EXP(-Cubic_SPline(CSTenor,CntrptyCS,H21)*H21/LGD_C)</f>
        <v>0.94530278225325393</v>
      </c>
      <c r="V21" s="46" cm="1">
        <f t="array" aca="1" ref="V21" ca="1">EXP(-Cubic_SPline(CSTenor,OwnCS,H21)*H21/LGD_Own)</f>
        <v>0.96319441852816201</v>
      </c>
      <c r="W21" s="23"/>
    </row>
    <row r="22" spans="2:27" ht="14.4" x14ac:dyDescent="0.3">
      <c r="B22" s="28" t="s">
        <v>52</v>
      </c>
      <c r="C22" s="49">
        <f ca="1">D22</f>
        <v>19.855283776174069</v>
      </c>
      <c r="D22" s="50">
        <f ca="1">-LGD_Own*(SUMPRODUCT(P13:P40,V12:V39)-SUMPRODUCT(P13:P40,V13:V40))*10000</f>
        <v>19.855283776174069</v>
      </c>
      <c r="E22" s="49">
        <f ca="1">-LGD_Own*(SUMPRODUCT(L13:L40,V12:V39)-SUMPRODUCT(L13:L40,V13:V40))*10000</f>
        <v>11.300022633776608</v>
      </c>
      <c r="F22" s="51">
        <f ca="1">-LGD_Own*(SUMPRODUCT(T13:T40,V12:V39)-SUMPRODUCT(T13:T40,V13:V40))*10000</f>
        <v>17.150903230777281</v>
      </c>
      <c r="G22" s="27"/>
      <c r="H22" s="39">
        <v>2.5</v>
      </c>
      <c r="I22" s="40">
        <v>3.8588439195383933E-2</v>
      </c>
      <c r="J22" s="44">
        <v>-1.3405852944042278E-2</v>
      </c>
      <c r="K22" s="42">
        <v>1.430232316516895E-2</v>
      </c>
      <c r="L22" s="43">
        <v>-1.9351242393212967E-2</v>
      </c>
      <c r="M22" s="40">
        <v>1.798327160258428E-2</v>
      </c>
      <c r="N22" s="44">
        <v>7.1993146487574315E-3</v>
      </c>
      <c r="O22" s="44">
        <v>3.4907490757968611E-2</v>
      </c>
      <c r="P22" s="43">
        <v>-3.995640998601268E-2</v>
      </c>
      <c r="Q22" s="44">
        <v>2.5616479354109777E-2</v>
      </c>
      <c r="R22" s="43">
        <v>-4.3389310276812596E-4</v>
      </c>
      <c r="S22" s="44">
        <v>2.7274283006443037E-2</v>
      </c>
      <c r="T22" s="43">
        <v>-3.2323202234487119E-2</v>
      </c>
      <c r="U22" s="45" cm="1">
        <f t="array" aca="1" ref="U22" ca="1">EXP(-Cubic_SPline(CSTenor,CntrptyCS,H22)*H22/LGD_C)</f>
        <v>0.93941306412582071</v>
      </c>
      <c r="V22" s="46" cm="1">
        <f t="array" aca="1" ref="V22" ca="1">EXP(-Cubic_SPline(CSTenor,OwnCS,H22)*H22/LGD_Own)</f>
        <v>0.95918945800245303</v>
      </c>
      <c r="W22" s="23"/>
    </row>
    <row r="23" spans="2:27" ht="15" thickBot="1" x14ac:dyDescent="0.35">
      <c r="B23" s="31" t="s">
        <v>53</v>
      </c>
      <c r="C23" s="52">
        <f ca="1">C22+C21</f>
        <v>25.880230803671189</v>
      </c>
      <c r="D23" s="53">
        <f ca="1">D21+D22</f>
        <v>17.324969661274391</v>
      </c>
      <c r="E23" s="52">
        <f ca="1">E21+E22</f>
        <v>17.324969661273727</v>
      </c>
      <c r="F23" s="54">
        <f ca="1">F22+F21</f>
        <v>17.324969661274054</v>
      </c>
      <c r="G23" s="27"/>
      <c r="H23" s="39">
        <v>2.75</v>
      </c>
      <c r="I23" s="40">
        <v>3.8222223324045429E-2</v>
      </c>
      <c r="J23" s="44">
        <v>-1.2980045361969823E-2</v>
      </c>
      <c r="K23" s="42">
        <v>1.5331728613135675E-2</v>
      </c>
      <c r="L23" s="43">
        <v>-2.1728473729047248E-2</v>
      </c>
      <c r="M23" s="40">
        <v>1.723177680548647E-2</v>
      </c>
      <c r="N23" s="44">
        <v>8.0104011565889973E-3</v>
      </c>
      <c r="O23" s="44">
        <v>3.632217513169464E-2</v>
      </c>
      <c r="P23" s="43">
        <v>-4.2718920247606068E-2</v>
      </c>
      <c r="Q23" s="44">
        <v>2.3973825868670744E-2</v>
      </c>
      <c r="R23" s="43">
        <v>1.2683520934048437E-3</v>
      </c>
      <c r="S23" s="44">
        <v>2.9580126068510473E-2</v>
      </c>
      <c r="T23" s="43">
        <v>-3.5976871184421916E-2</v>
      </c>
      <c r="U23" s="45" cm="1">
        <f t="array" aca="1" ref="U23" ca="1">EXP(-Cubic_SPline(CSTenor,CntrptyCS,H23)*H23/LGD_C)</f>
        <v>0.9335600423516961</v>
      </c>
      <c r="V23" s="46" cm="1">
        <f t="array" aca="1" ref="V23" ca="1">EXP(-Cubic_SPline(CSTenor,OwnCS,H23)*H23/LGD_Own)</f>
        <v>0.95520115009484885</v>
      </c>
      <c r="W23" s="23"/>
    </row>
    <row r="24" spans="2:27" ht="14.4" x14ac:dyDescent="0.3">
      <c r="B24" s="27"/>
      <c r="C24" s="27"/>
      <c r="D24" s="27"/>
      <c r="E24" s="27"/>
      <c r="F24" s="27"/>
      <c r="G24" s="27"/>
      <c r="H24" s="39">
        <v>3</v>
      </c>
      <c r="I24" s="40">
        <v>3.7326585714134074E-2</v>
      </c>
      <c r="J24" s="44">
        <v>-1.2826443083817576E-2</v>
      </c>
      <c r="K24" s="42">
        <v>1.5994145253523454E-2</v>
      </c>
      <c r="L24" s="43">
        <v>-2.4756768802635179E-2</v>
      </c>
      <c r="M24" s="40">
        <v>1.6054131495959075E-2</v>
      </c>
      <c r="N24" s="44">
        <v>8.4460111343573948E-3</v>
      </c>
      <c r="O24" s="44">
        <v>3.7266599471698456E-2</v>
      </c>
      <c r="P24" s="43">
        <v>-4.6029223020810146E-2</v>
      </c>
      <c r="Q24" s="44">
        <v>2.1711922456981423E-2</v>
      </c>
      <c r="R24" s="43">
        <v>2.7882201733350712E-3</v>
      </c>
      <c r="S24" s="44">
        <v>3.1608808510676135E-2</v>
      </c>
      <c r="T24" s="43">
        <v>-4.0371432059787847E-2</v>
      </c>
      <c r="U24" s="45" cm="1">
        <f t="array" aca="1" ref="U24" ca="1">EXP(-Cubic_SPline(CSTenor,CntrptyCS,H24)*H24/LGD_C)</f>
        <v>0.92774348788380412</v>
      </c>
      <c r="V24" s="46" cm="1">
        <f t="array" aca="1" ref="V24" ca="1">EXP(-Cubic_SPline(CSTenor,OwnCS,H24)*H24/LGD_Own)</f>
        <v>0.95122942556379575</v>
      </c>
      <c r="W24" s="23"/>
      <c r="Y24" s="12"/>
      <c r="Z24" s="12"/>
      <c r="AA24" s="12"/>
    </row>
    <row r="25" spans="2:27" ht="14.4" x14ac:dyDescent="0.3">
      <c r="B25" s="27"/>
      <c r="C25" s="27"/>
      <c r="D25" s="27"/>
      <c r="E25" s="27"/>
      <c r="F25" s="27"/>
      <c r="G25" s="27"/>
      <c r="H25" s="39">
        <v>3.25</v>
      </c>
      <c r="I25" s="40">
        <v>3.6190232124819414E-2</v>
      </c>
      <c r="J25" s="44">
        <v>-1.2303946857117498E-2</v>
      </c>
      <c r="K25" s="42">
        <v>1.7195788237334433E-2</v>
      </c>
      <c r="L25" s="43">
        <v>-2.6033925988585224E-2</v>
      </c>
      <c r="M25" s="40">
        <v>1.5051464262084204E-2</v>
      </c>
      <c r="N25" s="44">
        <v>8.8348210056177785E-3</v>
      </c>
      <c r="O25" s="44">
        <v>3.8334556100069646E-2</v>
      </c>
      <c r="P25" s="43">
        <v>-4.7172693851320495E-2</v>
      </c>
      <c r="Q25" s="44">
        <v>2.0776162088240811E-2</v>
      </c>
      <c r="R25" s="43">
        <v>3.1101231794610847E-3</v>
      </c>
      <c r="S25" s="44">
        <v>3.2609858273912995E-2</v>
      </c>
      <c r="T25" s="43">
        <v>-4.1447996025163809E-2</v>
      </c>
      <c r="U25" s="45" cm="1">
        <f t="array" aca="1" ref="U25" ca="1">EXP(-Cubic_SPline(CSTenor,CntrptyCS,H25)*H25/LGD_C)</f>
        <v>0.9219631740936306</v>
      </c>
      <c r="V25" s="46" cm="1">
        <f t="array" aca="1" ref="V25" ca="1">EXP(-Cubic_SPline(CSTenor,OwnCS,H25)*H25/LGD_Own)</f>
        <v>0.94727421426097613</v>
      </c>
      <c r="W25" s="23"/>
      <c r="Y25" s="12"/>
      <c r="Z25" s="12"/>
      <c r="AA25" s="12"/>
    </row>
    <row r="26" spans="2:27" ht="14.4" x14ac:dyDescent="0.3">
      <c r="B26" s="27"/>
      <c r="C26" s="27"/>
      <c r="D26" s="27"/>
      <c r="E26" s="27"/>
      <c r="F26" s="27"/>
      <c r="G26" s="27"/>
      <c r="H26" s="39">
        <v>3.5</v>
      </c>
      <c r="I26" s="40">
        <v>3.5038865762392624E-2</v>
      </c>
      <c r="J26" s="44">
        <v>-1.1641460137707661E-2</v>
      </c>
      <c r="K26" s="42">
        <v>1.8722542135358063E-2</v>
      </c>
      <c r="L26" s="43">
        <v>-3.1615660016502116E-2</v>
      </c>
      <c r="M26" s="40">
        <v>1.3967750954001427E-2</v>
      </c>
      <c r="N26" s="44">
        <v>9.4296546706835824E-3</v>
      </c>
      <c r="O26" s="44">
        <v>3.9793656943749263E-2</v>
      </c>
      <c r="P26" s="43">
        <v>-5.2686774824893361E-2</v>
      </c>
      <c r="Q26" s="44">
        <v>1.8910461279576893E-2</v>
      </c>
      <c r="R26" s="43">
        <v>4.4869443451080737E-3</v>
      </c>
      <c r="S26" s="44">
        <v>3.4850946618173742E-2</v>
      </c>
      <c r="T26" s="43">
        <v>-4.7744064499317833E-2</v>
      </c>
      <c r="U26" s="45" cm="1">
        <f t="array" aca="1" ref="U26" ca="1">EXP(-Cubic_SPline(CSTenor,CntrptyCS,H26)*H26/LGD_C)</f>
        <v>0.91621887468718677</v>
      </c>
      <c r="V26" s="46" cm="1">
        <f t="array" aca="1" ref="V26" ca="1">EXP(-Cubic_SPline(CSTenor,OwnCS,H26)*H26/LGD_Own)</f>
        <v>0.94333545110346162</v>
      </c>
      <c r="W26" s="23"/>
    </row>
    <row r="27" spans="2:27" ht="14.4" x14ac:dyDescent="0.3">
      <c r="B27" s="27"/>
      <c r="C27" s="27"/>
      <c r="D27" s="27"/>
      <c r="E27" s="27"/>
      <c r="F27" s="27"/>
      <c r="G27" s="27"/>
      <c r="H27" s="39">
        <v>3.75</v>
      </c>
      <c r="I27" s="40">
        <v>3.3486456733540317E-2</v>
      </c>
      <c r="J27" s="44">
        <v>-1.1054207408917646E-2</v>
      </c>
      <c r="K27" s="42">
        <v>1.9278769404977615E-2</v>
      </c>
      <c r="L27" s="43">
        <v>-3.6555316565055312E-2</v>
      </c>
      <c r="M27" s="40">
        <v>1.2804093876669675E-2</v>
      </c>
      <c r="N27" s="44">
        <v>9.6281554479529952E-3</v>
      </c>
      <c r="O27" s="44">
        <v>3.9961132261848255E-2</v>
      </c>
      <c r="P27" s="43">
        <v>-5.7237679421925952E-2</v>
      </c>
      <c r="Q27" s="44">
        <v>1.6992022653085283E-2</v>
      </c>
      <c r="R27" s="43">
        <v>5.4402266715374041E-3</v>
      </c>
      <c r="S27" s="44">
        <v>3.5773203485432677E-2</v>
      </c>
      <c r="T27" s="43">
        <v>-5.3049750645510346E-2</v>
      </c>
      <c r="U27" s="45" cm="1">
        <f t="array" aca="1" ref="U27" ca="1">EXP(-Cubic_SPline(CSTenor,CntrptyCS,H27)*H27/LGD_C)</f>
        <v>0.91051036527543705</v>
      </c>
      <c r="V27" s="46" cm="1">
        <f t="array" aca="1" ref="V27" ca="1">EXP(-Cubic_SPline(CSTenor,OwnCS,H27)*H27/LGD_Own)</f>
        <v>0.93941306549284664</v>
      </c>
      <c r="W27" s="23"/>
    </row>
    <row r="28" spans="2:27" ht="14.4" x14ac:dyDescent="0.3">
      <c r="B28" s="55" t="s">
        <v>57</v>
      </c>
      <c r="C28" s="27"/>
      <c r="D28" s="27"/>
      <c r="E28" s="27"/>
      <c r="F28" s="27"/>
      <c r="G28" s="27"/>
      <c r="H28" s="39">
        <v>4</v>
      </c>
      <c r="I28" s="40">
        <v>3.1639862814599996E-2</v>
      </c>
      <c r="J28" s="44">
        <v>-1.046119847205765E-2</v>
      </c>
      <c r="K28" s="42">
        <v>2.1526043623990923E-2</v>
      </c>
      <c r="L28" s="43">
        <v>-3.9654746823770626E-2</v>
      </c>
      <c r="M28" s="40">
        <v>1.2148280979913561E-2</v>
      </c>
      <c r="N28" s="44">
        <v>9.0303833626288466E-3</v>
      </c>
      <c r="O28" s="44">
        <v>4.1017625458677355E-2</v>
      </c>
      <c r="P28" s="43">
        <v>-5.9146328658457127E-2</v>
      </c>
      <c r="Q28" s="44">
        <v>1.5263315852463197E-2</v>
      </c>
      <c r="R28" s="43">
        <v>5.9153484900791612E-3</v>
      </c>
      <c r="S28" s="44">
        <v>3.7902590586127737E-2</v>
      </c>
      <c r="T28" s="43">
        <v>-5.6031293785907481E-2</v>
      </c>
      <c r="U28" s="45" cm="1">
        <f t="array" aca="1" ref="U28" ca="1">EXP(-Cubic_SPline(CSTenor,CntrptyCS,H28)*H28/LGD_C)</f>
        <v>0.90483742005842882</v>
      </c>
      <c r="V28" s="46" cm="1">
        <f t="array" aca="1" ref="V28" ca="1">EXP(-Cubic_SPline(CSTenor,OwnCS,H28)*H28/LGD_Own)</f>
        <v>0.93550698642563179</v>
      </c>
      <c r="W28" s="23"/>
    </row>
    <row r="29" spans="2:27" ht="14.4" x14ac:dyDescent="0.3">
      <c r="B29" s="55" t="s">
        <v>58</v>
      </c>
      <c r="C29" s="27"/>
      <c r="D29" s="27"/>
      <c r="E29" s="27"/>
      <c r="F29" s="27"/>
      <c r="G29" s="27"/>
      <c r="H29" s="39">
        <v>4.25</v>
      </c>
      <c r="I29" s="40">
        <v>2.9768006734671105E-2</v>
      </c>
      <c r="J29" s="44">
        <v>-9.7488565877458661E-3</v>
      </c>
      <c r="K29" s="42">
        <v>2.2624809578613788E-2</v>
      </c>
      <c r="L29" s="43">
        <v>-4.2758465232455904E-2</v>
      </c>
      <c r="M29" s="40">
        <v>1.0418337237571169E-2</v>
      </c>
      <c r="N29" s="44">
        <v>9.6008129093540801E-3</v>
      </c>
      <c r="O29" s="44">
        <v>4.1974479075713722E-2</v>
      </c>
      <c r="P29" s="43">
        <v>-6.2108134729555849E-2</v>
      </c>
      <c r="Q29" s="44">
        <v>1.3302450865668534E-2</v>
      </c>
      <c r="R29" s="43">
        <v>6.7166992812566721E-3</v>
      </c>
      <c r="S29" s="44">
        <v>3.9090365447616356E-2</v>
      </c>
      <c r="T29" s="43">
        <v>-5.9224021101458482E-2</v>
      </c>
      <c r="U29" s="45" cm="1">
        <f t="array" aca="1" ref="U29" ca="1">EXP(-Cubic_SPline(CSTenor,CntrptyCS,H29)*H29/LGD_C)</f>
        <v>0.899199822895556</v>
      </c>
      <c r="V29" s="46" cm="1">
        <f t="array" aca="1" ref="V29" ca="1">EXP(-Cubic_SPline(CSTenor,OwnCS,H29)*H29/LGD_Own)</f>
        <v>0.93161715018895086</v>
      </c>
      <c r="W29" s="23"/>
    </row>
    <row r="30" spans="2:27" ht="14.4" x14ac:dyDescent="0.3">
      <c r="B30" s="55" t="s">
        <v>59</v>
      </c>
      <c r="C30" s="27"/>
      <c r="D30" s="27"/>
      <c r="E30" s="27"/>
      <c r="F30" s="27"/>
      <c r="G30" s="27"/>
      <c r="H30" s="39">
        <v>4.5</v>
      </c>
      <c r="I30" s="40">
        <v>2.792441545060691E-2</v>
      </c>
      <c r="J30" s="44">
        <v>-8.9329409206117521E-3</v>
      </c>
      <c r="K30" s="42">
        <v>2.3703287679843657E-2</v>
      </c>
      <c r="L30" s="43">
        <v>-4.6987803825505645E-2</v>
      </c>
      <c r="M30" s="40">
        <v>9.2455186074984746E-3</v>
      </c>
      <c r="N30" s="44">
        <v>9.7459559224967584E-3</v>
      </c>
      <c r="O30" s="44">
        <v>4.2382184522952088E-2</v>
      </c>
      <c r="P30" s="43">
        <v>-6.5666700668614159E-2</v>
      </c>
      <c r="Q30" s="44">
        <v>1.1926859161958023E-2</v>
      </c>
      <c r="R30" s="43">
        <v>7.0646153680371648E-3</v>
      </c>
      <c r="S30" s="44">
        <v>3.9700843968492487E-2</v>
      </c>
      <c r="T30" s="43">
        <v>-6.2985360114154579E-2</v>
      </c>
      <c r="U30" s="45" cm="1">
        <f t="array" aca="1" ref="U30" ca="1">EXP(-Cubic_SPline(CSTenor,CntrptyCS,H30)*H30/LGD_C)</f>
        <v>0.89359734935552959</v>
      </c>
      <c r="V30" s="46" cm="1">
        <f t="array" aca="1" ref="V30" ca="1">EXP(-Cubic_SPline(CSTenor,OwnCS,H30)*H30/LGD_Own)</f>
        <v>0.92774348788380412</v>
      </c>
      <c r="W30" s="23"/>
    </row>
    <row r="31" spans="2:27" ht="14.4" x14ac:dyDescent="0.3">
      <c r="B31" s="55" t="s">
        <v>60</v>
      </c>
      <c r="C31" s="27"/>
      <c r="D31" s="27"/>
      <c r="E31" s="27"/>
      <c r="F31" s="27"/>
      <c r="G31" s="27"/>
      <c r="H31" s="39">
        <v>4.75</v>
      </c>
      <c r="I31" s="40">
        <v>2.5881153429576059E-2</v>
      </c>
      <c r="J31" s="44">
        <v>-8.094803077319539E-3</v>
      </c>
      <c r="K31" s="42">
        <v>2.6612950167139996E-2</v>
      </c>
      <c r="L31" s="43">
        <v>-5.0496857443895211E-2</v>
      </c>
      <c r="M31" s="40">
        <v>8.3645480996757463E-3</v>
      </c>
      <c r="N31" s="44">
        <v>9.421802252580793E-3</v>
      </c>
      <c r="O31" s="44">
        <v>4.4129555497040313E-2</v>
      </c>
      <c r="P31" s="43">
        <v>-6.8013462773795552E-2</v>
      </c>
      <c r="Q31" s="44">
        <v>1.0360590838716982E-2</v>
      </c>
      <c r="R31" s="43">
        <v>7.4257595135395352E-3</v>
      </c>
      <c r="S31" s="44">
        <v>4.2133512757999057E-2</v>
      </c>
      <c r="T31" s="43">
        <v>-6.6017420034754318E-2</v>
      </c>
      <c r="U31" s="45" cm="1">
        <f t="array" aca="1" ref="U31" ca="1">EXP(-Cubic_SPline(CSTenor,CntrptyCS,H31)*H31/LGD_C)</f>
        <v>0.8880297828155167</v>
      </c>
      <c r="V31" s="46" cm="1">
        <f t="array" aca="1" ref="V31" ca="1">EXP(-Cubic_SPline(CSTenor,OwnCS,H31)*H31/LGD_Own)</f>
        <v>0.92388593225901561</v>
      </c>
      <c r="W31" s="23"/>
    </row>
    <row r="32" spans="2:27" ht="14.4" x14ac:dyDescent="0.3">
      <c r="B32" s="27"/>
      <c r="C32" s="27"/>
      <c r="D32" s="27"/>
      <c r="E32" s="27"/>
      <c r="F32" s="27"/>
      <c r="G32" s="27"/>
      <c r="H32" s="39">
        <v>5</v>
      </c>
      <c r="I32" s="40">
        <v>2.3651141099558046E-2</v>
      </c>
      <c r="J32" s="44">
        <v>-7.2576709513343411E-3</v>
      </c>
      <c r="K32" s="42">
        <v>2.8534850103517594E-2</v>
      </c>
      <c r="L32" s="43">
        <v>-5.4464839345029631E-2</v>
      </c>
      <c r="M32" s="40">
        <v>7.3657163946080576E-3</v>
      </c>
      <c r="N32" s="44">
        <v>9.0277537536156329E-3</v>
      </c>
      <c r="O32" s="44">
        <v>4.4820274808467585E-2</v>
      </c>
      <c r="P32" s="43">
        <v>-7.0750264049979597E-2</v>
      </c>
      <c r="Q32" s="44">
        <v>9.1047294092559319E-3</v>
      </c>
      <c r="R32" s="43">
        <v>7.2887407389677673E-3</v>
      </c>
      <c r="S32" s="44">
        <v>4.3081261793819742E-2</v>
      </c>
      <c r="T32" s="43">
        <v>-6.9011251035331775E-2</v>
      </c>
      <c r="U32" s="45" cm="1">
        <f t="array" aca="1" ref="U32" ca="1">EXP(-Cubic_SPline(CSTenor,CntrptyCS,H32)*H32/LGD_C)</f>
        <v>0.88249690505026324</v>
      </c>
      <c r="V32" s="46" cm="1">
        <f t="array" aca="1" ref="V32" ca="1">EXP(-Cubic_SPline(CSTenor,OwnCS,H32)*H32/LGD_Own)</f>
        <v>0.92004441634303946</v>
      </c>
      <c r="W32" s="23"/>
    </row>
    <row r="33" spans="2:23" ht="14.4" x14ac:dyDescent="0.3">
      <c r="B33" s="27"/>
      <c r="C33" s="27"/>
      <c r="D33" s="27"/>
      <c r="E33" s="27"/>
      <c r="F33" s="27"/>
      <c r="G33" s="27"/>
      <c r="H33" s="39">
        <v>5.25</v>
      </c>
      <c r="I33" s="40">
        <v>2.1313244513725627E-2</v>
      </c>
      <c r="J33" s="44">
        <v>-6.414063573506025E-3</v>
      </c>
      <c r="K33" s="42">
        <v>0</v>
      </c>
      <c r="L33" s="43">
        <v>0</v>
      </c>
      <c r="M33" s="40">
        <v>2.1313244513725627E-2</v>
      </c>
      <c r="N33" s="44">
        <v>-6.414063573506025E-3</v>
      </c>
      <c r="O33" s="44">
        <v>0</v>
      </c>
      <c r="P33" s="43">
        <v>0</v>
      </c>
      <c r="Q33" s="44">
        <v>2.1313244513725627E-2</v>
      </c>
      <c r="R33" s="43">
        <v>-6.414063573506025E-3</v>
      </c>
      <c r="S33" s="44">
        <v>0</v>
      </c>
      <c r="T33" s="43">
        <v>0</v>
      </c>
      <c r="U33" s="45" cm="1">
        <f t="array" aca="1" ref="U33" ca="1">EXP(-Cubic_SPline(CSTenor,CntrptyCS,H33)*H33/LGD_C)</f>
        <v>0.87699850082437825</v>
      </c>
      <c r="V33" s="46" cm="1">
        <f t="array" aca="1" ref="V33" ca="1">EXP(-Cubic_SPline(CSTenor,OwnCS,H33)*H33/LGD_Own)</f>
        <v>0.91621887157621429</v>
      </c>
      <c r="W33" s="23"/>
    </row>
    <row r="34" spans="2:23" ht="14.4" x14ac:dyDescent="0.3">
      <c r="B34" s="27"/>
      <c r="C34" s="27"/>
      <c r="D34" s="27"/>
      <c r="E34" s="27"/>
      <c r="F34" s="27"/>
      <c r="G34" s="27"/>
      <c r="H34" s="39">
        <v>5.5</v>
      </c>
      <c r="I34" s="40">
        <v>1.8934439925586286E-2</v>
      </c>
      <c r="J34" s="44">
        <v>-5.5645451162629799E-3</v>
      </c>
      <c r="K34" s="42">
        <v>0</v>
      </c>
      <c r="L34" s="43">
        <v>0</v>
      </c>
      <c r="M34" s="40">
        <v>1.8934439925586286E-2</v>
      </c>
      <c r="N34" s="44">
        <v>-5.5645451162629799E-3</v>
      </c>
      <c r="O34" s="44">
        <v>0</v>
      </c>
      <c r="P34" s="43">
        <v>0</v>
      </c>
      <c r="Q34" s="44">
        <v>1.8934439925586286E-2</v>
      </c>
      <c r="R34" s="43">
        <v>-5.5645451162629799E-3</v>
      </c>
      <c r="S34" s="44">
        <v>0</v>
      </c>
      <c r="T34" s="43">
        <v>0</v>
      </c>
      <c r="U34" s="45" cm="1">
        <f t="array" aca="1" ref="U34" ca="1">EXP(-Cubic_SPline(CSTenor,CntrptyCS,H34)*H34/LGD_C)</f>
        <v>0.87153435453579975</v>
      </c>
      <c r="V34" s="46" cm="1">
        <f t="array" aca="1" ref="V34" ca="1">EXP(-Cubic_SPline(CSTenor,OwnCS,H34)*H34/LGD_Own)</f>
        <v>0.91240923714252187</v>
      </c>
      <c r="W34" s="23"/>
    </row>
    <row r="35" spans="2:23" ht="14.4" x14ac:dyDescent="0.3">
      <c r="B35" s="27"/>
      <c r="C35" s="27"/>
      <c r="D35" s="27"/>
      <c r="E35" s="27"/>
      <c r="F35" s="27"/>
      <c r="G35" s="27"/>
      <c r="H35" s="39">
        <v>5.75</v>
      </c>
      <c r="I35" s="40">
        <v>1.6451499656767486E-2</v>
      </c>
      <c r="J35" s="44">
        <v>-4.731794685024486E-3</v>
      </c>
      <c r="K35" s="42">
        <v>0</v>
      </c>
      <c r="L35" s="43">
        <v>0</v>
      </c>
      <c r="M35" s="40">
        <v>1.6451499656767486E-2</v>
      </c>
      <c r="N35" s="44">
        <v>-4.731794685024486E-3</v>
      </c>
      <c r="O35" s="44">
        <v>0</v>
      </c>
      <c r="P35" s="43">
        <v>0</v>
      </c>
      <c r="Q35" s="44">
        <v>1.6451499656767486E-2</v>
      </c>
      <c r="R35" s="43">
        <v>-4.731794685024486E-3</v>
      </c>
      <c r="S35" s="44">
        <v>0</v>
      </c>
      <c r="T35" s="43">
        <v>0</v>
      </c>
      <c r="U35" s="45" cm="1">
        <f t="array" aca="1" ref="U35" ca="1">EXP(-Cubic_SPline(CSTenor,CntrptyCS,H35)*H35/LGD_C)</f>
        <v>0.86610425273911384</v>
      </c>
      <c r="V35" s="46" cm="1">
        <f t="array" aca="1" ref="V35" ca="1">EXP(-Cubic_SPline(CSTenor,OwnCS,H35)*H35/LGD_Own)</f>
        <v>0.908615443329988</v>
      </c>
      <c r="W35" s="23"/>
    </row>
    <row r="36" spans="2:23" ht="14.4" x14ac:dyDescent="0.3">
      <c r="B36" s="27"/>
      <c r="C36" s="27"/>
      <c r="D36" s="27"/>
      <c r="E36" s="27"/>
      <c r="F36" s="27"/>
      <c r="G36" s="27"/>
      <c r="H36" s="39">
        <v>6</v>
      </c>
      <c r="I36" s="40">
        <v>1.3820084330290796E-2</v>
      </c>
      <c r="J36" s="44">
        <v>-3.9145417236722529E-3</v>
      </c>
      <c r="K36" s="42">
        <v>0</v>
      </c>
      <c r="L36" s="43">
        <v>0</v>
      </c>
      <c r="M36" s="40">
        <v>1.3820084330290796E-2</v>
      </c>
      <c r="N36" s="44">
        <v>-3.9145417236722529E-3</v>
      </c>
      <c r="O36" s="44">
        <v>0</v>
      </c>
      <c r="P36" s="43">
        <v>0</v>
      </c>
      <c r="Q36" s="44">
        <v>1.3820084330290796E-2</v>
      </c>
      <c r="R36" s="43">
        <v>-3.9145417236722529E-3</v>
      </c>
      <c r="S36" s="44">
        <v>0</v>
      </c>
      <c r="T36" s="43">
        <v>0</v>
      </c>
      <c r="U36" s="45" cm="1">
        <f t="array" aca="1" ref="U36" ca="1">EXP(-Cubic_SPline(CSTenor,CntrptyCS,H36)*H36/LGD_C)</f>
        <v>0.86070797931080623</v>
      </c>
      <c r="V36" s="46" cm="1">
        <f t="array" aca="1" ref="V36" ca="1">EXP(-Cubic_SPline(CSTenor,OwnCS,H36)*H36/LGD_Own)</f>
        <v>0.90483742005842882</v>
      </c>
      <c r="W36" s="23"/>
    </row>
    <row r="37" spans="2:23" ht="14.4" x14ac:dyDescent="0.3">
      <c r="B37" s="27"/>
      <c r="C37" s="27"/>
      <c r="D37" s="27"/>
      <c r="E37" s="27"/>
      <c r="F37" s="27"/>
      <c r="G37" s="27"/>
      <c r="H37" s="39">
        <v>6.25</v>
      </c>
      <c r="I37" s="40">
        <v>1.1043436015428143E-2</v>
      </c>
      <c r="J37" s="44">
        <v>-3.0783337319439073E-3</v>
      </c>
      <c r="K37" s="42">
        <v>0</v>
      </c>
      <c r="L37" s="43">
        <v>0</v>
      </c>
      <c r="M37" s="40">
        <v>1.1043436015428143E-2</v>
      </c>
      <c r="N37" s="44">
        <v>-3.0783337319439073E-3</v>
      </c>
      <c r="O37" s="44">
        <v>0</v>
      </c>
      <c r="P37" s="43">
        <v>0</v>
      </c>
      <c r="Q37" s="44">
        <v>1.1043436015428143E-2</v>
      </c>
      <c r="R37" s="43">
        <v>-3.0783337319439073E-3</v>
      </c>
      <c r="S37" s="44">
        <v>0</v>
      </c>
      <c r="T37" s="43">
        <v>0</v>
      </c>
      <c r="U37" s="45" cm="1">
        <f t="array" aca="1" ref="U37" ca="1">EXP(-Cubic_SPline(CSTenor,CntrptyCS,H37)*H37/LGD_C)</f>
        <v>0.85534533133192425</v>
      </c>
      <c r="V37" s="46" cm="1">
        <f t="array" aca="1" ref="V37" ca="1">EXP(-Cubic_SPline(CSTenor,OwnCS,H37)*H37/LGD_Own)</f>
        <v>0.90107510781926958</v>
      </c>
      <c r="W37" s="23"/>
    </row>
    <row r="38" spans="2:23" ht="14.4" x14ac:dyDescent="0.3">
      <c r="B38" s="27"/>
      <c r="C38" s="27"/>
      <c r="D38" s="27"/>
      <c r="E38" s="27"/>
      <c r="F38" s="27"/>
      <c r="G38" s="27"/>
      <c r="H38" s="39">
        <v>6.5</v>
      </c>
      <c r="I38" s="40">
        <v>8.5286583330502468E-3</v>
      </c>
      <c r="J38" s="44">
        <v>-2.2965623484757325E-3</v>
      </c>
      <c r="K38" s="42">
        <v>0</v>
      </c>
      <c r="L38" s="43">
        <v>0</v>
      </c>
      <c r="M38" s="40">
        <v>8.5286583330502468E-3</v>
      </c>
      <c r="N38" s="44">
        <v>-2.2965623484757325E-3</v>
      </c>
      <c r="O38" s="44">
        <v>0</v>
      </c>
      <c r="P38" s="43">
        <v>0</v>
      </c>
      <c r="Q38" s="44">
        <v>8.5286583330502468E-3</v>
      </c>
      <c r="R38" s="43">
        <v>-2.2965623484757325E-3</v>
      </c>
      <c r="S38" s="44">
        <v>0</v>
      </c>
      <c r="T38" s="43">
        <v>0</v>
      </c>
      <c r="U38" s="45" cm="1">
        <f t="array" aca="1" ref="U38" ca="1">EXP(-Cubic_SPline(CSTenor,CntrptyCS,H38)*H38/LGD_C)</f>
        <v>0.85001609331279093</v>
      </c>
      <c r="V38" s="46" cm="1">
        <f t="array" aca="1" ref="V38" ca="1">EXP(-Cubic_SPline(CSTenor,OwnCS,H38)*H38/LGD_Own)</f>
        <v>0.89732843926710992</v>
      </c>
      <c r="W38" s="23"/>
    </row>
    <row r="39" spans="2:23" ht="14.4" x14ac:dyDescent="0.3">
      <c r="B39" s="27"/>
      <c r="C39" s="27"/>
      <c r="D39" s="27"/>
      <c r="E39" s="27"/>
      <c r="F39" s="27"/>
      <c r="G39" s="27"/>
      <c r="H39" s="39">
        <v>6.75</v>
      </c>
      <c r="I39" s="40">
        <v>5.8022666763154537E-3</v>
      </c>
      <c r="J39" s="44">
        <v>-1.5108276226373848E-3</v>
      </c>
      <c r="K39" s="42">
        <v>0</v>
      </c>
      <c r="L39" s="43">
        <v>0</v>
      </c>
      <c r="M39" s="40">
        <v>5.8022666763154537E-3</v>
      </c>
      <c r="N39" s="44">
        <v>-1.5108276226373848E-3</v>
      </c>
      <c r="O39" s="44">
        <v>0</v>
      </c>
      <c r="P39" s="43">
        <v>0</v>
      </c>
      <c r="Q39" s="44">
        <v>5.8022666763154537E-3</v>
      </c>
      <c r="R39" s="43">
        <v>-1.5108276226373848E-3</v>
      </c>
      <c r="S39" s="44">
        <v>0</v>
      </c>
      <c r="T39" s="43">
        <v>0</v>
      </c>
      <c r="U39" s="45" cm="1">
        <f t="array" aca="1" ref="U39" ca="1">EXP(-Cubic_SPline(CSTenor,CntrptyCS,H39)*H39/LGD_C)</f>
        <v>0.8447200601911462</v>
      </c>
      <c r="V39" s="46" cm="1">
        <f t="array" aca="1" ref="V39" ca="1">EXP(-Cubic_SPline(CSTenor,OwnCS,H39)*H39/LGD_Own)</f>
        <v>0.89359734935552959</v>
      </c>
      <c r="W39" s="23"/>
    </row>
    <row r="40" spans="2:23" ht="15" thickBot="1" x14ac:dyDescent="0.35">
      <c r="B40" s="27"/>
      <c r="C40" s="27"/>
      <c r="D40" s="27"/>
      <c r="E40" s="27"/>
      <c r="F40" s="27"/>
      <c r="G40" s="27"/>
      <c r="H40" s="56">
        <v>7</v>
      </c>
      <c r="I40" s="57">
        <v>2.8945657397456072E-3</v>
      </c>
      <c r="J40" s="58">
        <v>-7.3488475165954764E-4</v>
      </c>
      <c r="K40" s="59">
        <v>0</v>
      </c>
      <c r="L40" s="60">
        <v>0</v>
      </c>
      <c r="M40" s="57">
        <v>2.8945657397456072E-3</v>
      </c>
      <c r="N40" s="58">
        <v>-7.3488475165954764E-4</v>
      </c>
      <c r="O40" s="58">
        <v>0</v>
      </c>
      <c r="P40" s="60">
        <v>0</v>
      </c>
      <c r="Q40" s="58">
        <v>2.8945657397456072E-3</v>
      </c>
      <c r="R40" s="60">
        <v>-7.3488475165954764E-4</v>
      </c>
      <c r="S40" s="58">
        <v>0</v>
      </c>
      <c r="T40" s="60">
        <v>0</v>
      </c>
      <c r="U40" s="61" cm="1">
        <f t="array" aca="1" ref="U40" ca="1">EXP(-Cubic_SPline(CSTenor,CntrptyCS,H40)*H40/LGD_C)</f>
        <v>0.83945702405278955</v>
      </c>
      <c r="V40" s="62" cm="1">
        <f t="array" aca="1" ref="V40" ca="1">EXP(-Cubic_SPline(CSTenor,OwnCS,H40)*H40/LGD_Own)</f>
        <v>0.88988177330857132</v>
      </c>
      <c r="W40" s="23"/>
    </row>
    <row r="41" spans="2:23" ht="14.4" x14ac:dyDescent="0.3">
      <c r="B41" s="27"/>
      <c r="C41" s="27"/>
      <c r="D41" s="27"/>
      <c r="E41" s="27"/>
      <c r="F41" s="27"/>
      <c r="G41" s="27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4"/>
      <c r="V41" s="64"/>
    </row>
    <row r="42" spans="2:23" ht="14.4" x14ac:dyDescent="0.3">
      <c r="B42" s="27"/>
      <c r="C42" s="27"/>
      <c r="D42" s="27"/>
      <c r="E42" s="27"/>
      <c r="F42" s="27"/>
      <c r="G42" s="27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4"/>
      <c r="V42" s="64"/>
    </row>
    <row r="43" spans="2:23" ht="14.4" x14ac:dyDescent="0.3">
      <c r="B43" s="27"/>
      <c r="C43" s="27"/>
      <c r="D43" s="27"/>
      <c r="E43" s="27"/>
      <c r="F43" s="27"/>
      <c r="G43" s="2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4"/>
      <c r="V43" s="64"/>
    </row>
    <row r="44" spans="2:23" ht="14.4" x14ac:dyDescent="0.3">
      <c r="B44" s="27"/>
      <c r="C44" s="27"/>
      <c r="D44" s="27"/>
      <c r="E44" s="27"/>
      <c r="F44" s="27"/>
      <c r="G44" s="27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4"/>
      <c r="V44" s="64"/>
    </row>
    <row r="45" spans="2:23" ht="14.4" x14ac:dyDescent="0.3">
      <c r="B45" s="27"/>
      <c r="C45" s="27"/>
      <c r="D45" s="27"/>
      <c r="E45" s="27"/>
      <c r="F45" s="27"/>
      <c r="G45" s="27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4"/>
      <c r="V45" s="64"/>
    </row>
    <row r="46" spans="2:23" ht="14.4" x14ac:dyDescent="0.3">
      <c r="B46" s="27"/>
      <c r="C46" s="27"/>
      <c r="D46" s="27"/>
      <c r="E46" s="27"/>
      <c r="F46" s="27"/>
      <c r="G46" s="27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4"/>
      <c r="V46" s="64"/>
    </row>
    <row r="47" spans="2:23" ht="14.4" x14ac:dyDescent="0.3">
      <c r="B47" s="27"/>
      <c r="C47" s="27"/>
      <c r="D47" s="27"/>
      <c r="E47" s="27"/>
      <c r="F47" s="27"/>
      <c r="G47" s="27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4"/>
    </row>
    <row r="48" spans="2:23" ht="14.4" x14ac:dyDescent="0.3">
      <c r="B48" s="27"/>
      <c r="C48" s="27"/>
      <c r="D48" s="27"/>
      <c r="E48" s="27"/>
      <c r="F48" s="27"/>
      <c r="G48" s="27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4"/>
    </row>
    <row r="49" spans="2:22" ht="14.4" x14ac:dyDescent="0.3">
      <c r="B49" s="27"/>
      <c r="C49" s="27"/>
      <c r="D49" s="27"/>
      <c r="E49" s="27"/>
      <c r="F49" s="27"/>
      <c r="G49" s="27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4"/>
    </row>
    <row r="50" spans="2:22" ht="14.4" x14ac:dyDescent="0.3">
      <c r="B50" s="27"/>
      <c r="C50" s="27"/>
      <c r="D50" s="27"/>
      <c r="E50" s="27"/>
      <c r="F50" s="27"/>
      <c r="G50" s="27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4"/>
    </row>
    <row r="51" spans="2:22" ht="14.4" x14ac:dyDescent="0.3">
      <c r="B51" s="27"/>
      <c r="C51" s="27"/>
      <c r="D51" s="27"/>
      <c r="E51" s="27"/>
      <c r="F51" s="27"/>
      <c r="G51" s="27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4"/>
    </row>
    <row r="52" spans="2:22" ht="14.4" x14ac:dyDescent="0.3">
      <c r="B52" s="27"/>
      <c r="C52" s="27"/>
      <c r="D52" s="27"/>
      <c r="E52" s="27"/>
      <c r="F52" s="27"/>
      <c r="G52" s="2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4"/>
      <c r="V52" s="64"/>
    </row>
    <row r="53" spans="2:22" ht="14.4" x14ac:dyDescent="0.3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65"/>
      <c r="V53" s="65"/>
    </row>
    <row r="54" spans="2:22" ht="14.4" x14ac:dyDescent="0.3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65"/>
      <c r="V54" s="65"/>
    </row>
    <row r="55" spans="2:22" ht="14.4" x14ac:dyDescent="0.3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65"/>
      <c r="V55" s="65"/>
    </row>
    <row r="56" spans="2:22" ht="14.4" x14ac:dyDescent="0.3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65"/>
      <c r="V56" s="65"/>
    </row>
    <row r="57" spans="2:22" ht="14.4" x14ac:dyDescent="0.3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65"/>
      <c r="V57" s="65"/>
    </row>
    <row r="58" spans="2:22" ht="14.4" x14ac:dyDescent="0.3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65"/>
    </row>
    <row r="59" spans="2:22" ht="14.4" x14ac:dyDescent="0.3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65"/>
    </row>
    <row r="60" spans="2:22" ht="14.4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65"/>
    </row>
    <row r="61" spans="2:22" ht="14.4" x14ac:dyDescent="0.3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65"/>
    </row>
    <row r="62" spans="2:22" ht="14.4" x14ac:dyDescent="0.3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65"/>
    </row>
    <row r="63" spans="2:22" ht="14.4" x14ac:dyDescent="0.3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65"/>
    </row>
    <row r="64" spans="2:22" ht="14.4" x14ac:dyDescent="0.3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65"/>
    </row>
    <row r="65" spans="2:22" ht="14.4" x14ac:dyDescent="0.3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65"/>
    </row>
    <row r="66" spans="2:22" ht="14.4" x14ac:dyDescent="0.3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65"/>
    </row>
    <row r="67" spans="2:22" ht="14.4" x14ac:dyDescent="0.3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65"/>
    </row>
    <row r="68" spans="2:22" ht="14.4" x14ac:dyDescent="0.3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65"/>
    </row>
    <row r="69" spans="2:22" ht="14.4" x14ac:dyDescent="0.3"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65"/>
    </row>
    <row r="70" spans="2:22" ht="14.4" x14ac:dyDescent="0.3"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65"/>
    </row>
    <row r="71" spans="2:22" ht="14.4" x14ac:dyDescent="0.3"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65"/>
    </row>
    <row r="72" spans="2:22" ht="14.4" x14ac:dyDescent="0.3"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65"/>
    </row>
    <row r="73" spans="2:22" ht="14.4" x14ac:dyDescent="0.3"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</row>
    <row r="74" spans="2:22" ht="14.4" x14ac:dyDescent="0.3"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2:22" ht="14.4" x14ac:dyDescent="0.3"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2:22" ht="14.4" x14ac:dyDescent="0.3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2:22" ht="14.4" x14ac:dyDescent="0.3"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2:22" ht="14.4" x14ac:dyDescent="0.3"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2:22" ht="14.4" x14ac:dyDescent="0.3"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</row>
    <row r="80" spans="2:22" ht="14.4" x14ac:dyDescent="0.3"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2:22" ht="14.4" x14ac:dyDescent="0.3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2:22" ht="14.4" x14ac:dyDescent="0.3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</row>
    <row r="83" spans="2:22" ht="14.4" x14ac:dyDescent="0.3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2:22" ht="14.4" x14ac:dyDescent="0.3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2:22" ht="14.4" x14ac:dyDescent="0.3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</row>
    <row r="86" spans="2:22" ht="14.4" x14ac:dyDescent="0.3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2:22" ht="14.4" x14ac:dyDescent="0.3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2:22" ht="14.4" x14ac:dyDescent="0.3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</row>
    <row r="89" spans="2:22" ht="14.4" x14ac:dyDescent="0.3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2:22" ht="14.4" x14ac:dyDescent="0.3"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2:22" ht="14.4" x14ac:dyDescent="0.3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2:22" ht="14.4" x14ac:dyDescent="0.3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2:22" ht="14.4" x14ac:dyDescent="0.3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</row>
    <row r="94" spans="2:22" ht="14.4" x14ac:dyDescent="0.3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</row>
    <row r="95" spans="2:22" ht="14.4" x14ac:dyDescent="0.3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2:22" ht="14.4" x14ac:dyDescent="0.3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2:22" ht="14.4" x14ac:dyDescent="0.3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2:22" ht="14.4" x14ac:dyDescent="0.3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2:22" ht="14.4" x14ac:dyDescent="0.3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2:22" ht="14.4" x14ac:dyDescent="0.3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2:22" ht="14.4" x14ac:dyDescent="0.3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</row>
    <row r="102" spans="2:22" ht="14.4" x14ac:dyDescent="0.3"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2:22" ht="14.4" x14ac:dyDescent="0.3"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2:22" ht="14.4" x14ac:dyDescent="0.3"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2:22" ht="14.4" x14ac:dyDescent="0.3"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2:22" ht="14.4" x14ac:dyDescent="0.3"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2:22" ht="14.4" x14ac:dyDescent="0.3"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2:22" ht="14.4" x14ac:dyDescent="0.3"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2:22" ht="14.4" x14ac:dyDescent="0.3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2:22" ht="14.4" x14ac:dyDescent="0.3"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2:22" ht="14.4" x14ac:dyDescent="0.3"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</row>
    <row r="112" spans="2:22" ht="14.4" x14ac:dyDescent="0.3"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</row>
    <row r="113" spans="2:22" ht="14.4" x14ac:dyDescent="0.3"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</row>
    <row r="114" spans="2:22" ht="14.4" x14ac:dyDescent="0.3"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</row>
    <row r="115" spans="2:22" ht="14.4" x14ac:dyDescent="0.3"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2:22" ht="14.4" x14ac:dyDescent="0.3"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2:22" ht="14.4" x14ac:dyDescent="0.3"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</row>
    <row r="118" spans="2:22" ht="14.4" x14ac:dyDescent="0.3"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2:22" ht="14.4" x14ac:dyDescent="0.3"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2:22" ht="14.4" x14ac:dyDescent="0.3"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</row>
    <row r="121" spans="2:22" ht="14.4" x14ac:dyDescent="0.3"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2:22" ht="14.4" x14ac:dyDescent="0.3"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2:22" ht="14.4" x14ac:dyDescent="0.3"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</row>
    <row r="124" spans="2:22" ht="14.4" x14ac:dyDescent="0.3"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2:22" ht="14.4" x14ac:dyDescent="0.3"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2:22" ht="14.4" x14ac:dyDescent="0.3"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</row>
    <row r="127" spans="2:22" ht="14.4" x14ac:dyDescent="0.3"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2:22" ht="14.4" x14ac:dyDescent="0.3"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2:22" ht="14.4" x14ac:dyDescent="0.3"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</row>
    <row r="130" spans="2:22" ht="14.4" x14ac:dyDescent="0.3"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2:22" ht="14.4" x14ac:dyDescent="0.3"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2:22" ht="14.4" x14ac:dyDescent="0.3"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</row>
    <row r="133" spans="2:22" ht="14.4" x14ac:dyDescent="0.3"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2:22" ht="14.4" x14ac:dyDescent="0.3"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2:22" ht="14.4" x14ac:dyDescent="0.3"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</row>
    <row r="136" spans="2:22" ht="14.4" x14ac:dyDescent="0.3"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2:22" ht="14.4" x14ac:dyDescent="0.3"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2:22" ht="14.4" x14ac:dyDescent="0.3"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2:22" ht="14.4" x14ac:dyDescent="0.3"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</row>
    <row r="140" spans="2:22" ht="14.4" x14ac:dyDescent="0.3"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</row>
    <row r="141" spans="2:22" ht="14.4" x14ac:dyDescent="0.3"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</row>
    <row r="1048442" spans="56:58" x14ac:dyDescent="0.25">
      <c r="BD1048442" s="8"/>
      <c r="BF1048442" s="8"/>
    </row>
  </sheetData>
  <mergeCells count="12">
    <mergeCell ref="B19:F19"/>
    <mergeCell ref="U9:V10"/>
    <mergeCell ref="Q10:R10"/>
    <mergeCell ref="S10:T10"/>
    <mergeCell ref="Q9:T9"/>
    <mergeCell ref="B13:F13"/>
    <mergeCell ref="I9:L9"/>
    <mergeCell ref="M9:P9"/>
    <mergeCell ref="I10:J10"/>
    <mergeCell ref="K10:L10"/>
    <mergeCell ref="M10:N10"/>
    <mergeCell ref="O10:P10"/>
  </mergeCells>
  <dataValidations count="1">
    <dataValidation type="list" allowBlank="1" showInputMessage="1" showErrorMessage="1" sqref="C10:D10" xr:uid="{9915E3F8-0F21-4B88-84F0-B0551343CDF3}">
      <formula1>"Flat100, Flat150, XXX,ZZZ,YYY,ZYX"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36</vt:i4>
      </vt:variant>
    </vt:vector>
  </HeadingPairs>
  <TitlesOfParts>
    <vt:vector size="40" baseType="lpstr">
      <vt:lpstr>14.1 (IRS CVA)</vt:lpstr>
      <vt:lpstr>14.2 (CVA+DVA)</vt:lpstr>
      <vt:lpstr>14.3 (Incremental CVA and DVA)</vt:lpstr>
      <vt:lpstr>14.4 (Marginal CVA and DVA)</vt:lpstr>
      <vt:lpstr>CCTenor</vt:lpstr>
      <vt:lpstr>CntprtyLGD</vt:lpstr>
      <vt:lpstr>CntrptyCreditCurveTenor</vt:lpstr>
      <vt:lpstr>CntrptyCreditCurveVal</vt:lpstr>
      <vt:lpstr>CntrptyCS</vt:lpstr>
      <vt:lpstr>CntrptySpread</vt:lpstr>
      <vt:lpstr>CntrptySpreadCurve</vt:lpstr>
      <vt:lpstr>CreditCurveTenor</vt:lpstr>
      <vt:lpstr>CreditCurveVal</vt:lpstr>
      <vt:lpstr>CSTenor</vt:lpstr>
      <vt:lpstr>Flat</vt:lpstr>
      <vt:lpstr>Flat100</vt:lpstr>
      <vt:lpstr>Flat150</vt:lpstr>
      <vt:lpstr>Humped</vt:lpstr>
      <vt:lpstr>IRVol</vt:lpstr>
      <vt:lpstr>'14.4 (Marginal CVA and DVA)'!LGD_C</vt:lpstr>
      <vt:lpstr>LGD_C</vt:lpstr>
      <vt:lpstr>'14.4 (Marginal CVA and DVA)'!LGD_Own</vt:lpstr>
      <vt:lpstr>LGD_Own</vt:lpstr>
      <vt:lpstr>MeanRvs</vt:lpstr>
      <vt:lpstr>OwnCreditCurveVal</vt:lpstr>
      <vt:lpstr>OwnCS</vt:lpstr>
      <vt:lpstr>OwnLGD</vt:lpstr>
      <vt:lpstr>'14.4 (Marginal CVA and DVA)'!OwnSpread</vt:lpstr>
      <vt:lpstr>OwnSpread</vt:lpstr>
      <vt:lpstr>OwnSpreadCurve</vt:lpstr>
      <vt:lpstr>'14.1 (IRS CVA)'!PayRec</vt:lpstr>
      <vt:lpstr>'14.4 (Marginal CVA and DVA)'!Spread</vt:lpstr>
      <vt:lpstr>SwapRateSA</vt:lpstr>
      <vt:lpstr>Upwards</vt:lpstr>
      <vt:lpstr>XXX</vt:lpstr>
      <vt:lpstr>YYY</vt:lpstr>
      <vt:lpstr>ZCRate</vt:lpstr>
      <vt:lpstr>ZCTime</vt:lpstr>
      <vt:lpstr>ZYX</vt:lpstr>
      <vt:lpstr>ZZZ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2026-06-10T15:11:53Z</dcterms:modified>
</cp:coreProperties>
</file>