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657" documentId="8_{3816AFCE-B83D-4F1C-A8FD-1FBC4B4535CC}" xr6:coauthVersionLast="47" xr6:coauthVersionMax="47" xr10:uidLastSave="{202B4FB4-EE0C-497D-B96E-BDBE19432B73}"/>
  <bookViews>
    <workbookView xWindow="-108" yWindow="-108" windowWidth="23256" windowHeight="13896" xr2:uid="{00000000-000D-0000-FFFF-FFFF00000000}"/>
  </bookViews>
  <sheets>
    <sheet name="10.1 Exposure Metrics" sheetId="15" r:id="rId1"/>
    <sheet name="10.2 EPE and PFE" sheetId="1" r:id="rId2"/>
    <sheet name="10.3 CDS Exposure" sheetId="11" r:id="rId3"/>
    <sheet name="10.4 XCCY Swap" sheetId="10" r:id="rId4"/>
    <sheet name="10.5 Netting" sheetId="14" r:id="rId5"/>
    <sheet name="10.6 Marginal Exposure" sheetId="19" r:id="rId6"/>
    <sheet name="10.7 Collateral Impact" sheetId="16" r:id="rId7"/>
  </sheets>
  <functionGroups builtInGroupCount="19"/>
  <externalReferences>
    <externalReference r:id="rId8"/>
  </externalReferences>
  <definedNames>
    <definedName name="_xleta.SUMIF" hidden="1" xlm="1">#NAME?</definedName>
    <definedName name="Alpha">'10.2 EPE and PFE'!$C$12</definedName>
    <definedName name="BFactors">[1]IRCalibration!$J$9</definedName>
    <definedName name="CDSSpread">'10.3 CDS Exposure'!$C$10</definedName>
    <definedName name="Collateralised">'[1]15.5'!$C$18</definedName>
    <definedName name="ConfLevel">'[1]15.8'!$C$17</definedName>
    <definedName name="ConfLevel1">'10.3 CDS Exposure'!$C$13</definedName>
    <definedName name="Correlation" localSheetId="5">'10.6 Marginal Exposure'!$C$13</definedName>
    <definedName name="DFcts">[1]IRCalibration!$G$9</definedName>
    <definedName name="DomesticIR">'[1]15.8'!$C$9</definedName>
    <definedName name="EndTime">'[1]15.5'!$C$14</definedName>
    <definedName name="ENE">'10.2 EPE and PFE'!$C$16</definedName>
    <definedName name="EPE">'10.2 EPE and PFE'!$C$15</definedName>
    <definedName name="FixedFreq">'[1]15.5'!$C$15</definedName>
    <definedName name="FloatFreq">'[1]15.5'!$C$16</definedName>
    <definedName name="ForeignIR">'[1]15.8'!$C$10</definedName>
    <definedName name="FwdFX">'[1]15.8'!$C$11</definedName>
    <definedName name="FwdRates">[1]IRCalibration!$H$9</definedName>
    <definedName name="FXDrift">'[1]15.8'!$C$15</definedName>
    <definedName name="FXRate">'[1]15.8'!$C$8</definedName>
    <definedName name="FXVol" localSheetId="5">'[1]15.8'!$C$16</definedName>
    <definedName name="FXVol">'10.4 XCCY Swap'!$C$12</definedName>
    <definedName name="HazardRate">'10.3 CDS Exposure'!$C$17</definedName>
    <definedName name="HR">'10.3 CDS Exposure'!#REF!</definedName>
    <definedName name="InitialMargin">'[1]15.5'!$C$22</definedName>
    <definedName name="InitialMarginPosted">'10.7 Collateral Impact'!$C$12</definedName>
    <definedName name="InitialMarginReceived">'10.7 Collateral Impact'!$C$13</definedName>
    <definedName name="InvOperation">#REF!</definedName>
    <definedName name="IRate">'10.3 CDS Exposure'!$C$11</definedName>
    <definedName name="IRFXCorr">'10.4 XCCY Swap'!$C$13</definedName>
    <definedName name="IRVol" localSheetId="5">[1]IRCalibration!$C$21</definedName>
    <definedName name="IRVol">'10.4 XCCY Swap'!$C$10</definedName>
    <definedName name="IRVol2">'10.4 XCCY Swap'!$C$11</definedName>
    <definedName name="LGD">'10.3 CDS Exposure'!$F$15</definedName>
    <definedName name="MeanRvs">[1]IRCalibration!$C$20</definedName>
    <definedName name="Metric">#REF!</definedName>
    <definedName name="MPR">'[1]15.5'!$C$19</definedName>
    <definedName name="Mu">'10.2 EPE and PFE'!$C$10</definedName>
    <definedName name="Mult1" localSheetId="5">'10.6 Marginal Exposure'!$H$10</definedName>
    <definedName name="Mult2" localSheetId="5">'10.6 Marginal Exposure'!$I$10</definedName>
    <definedName name="Multi1">#REF!</definedName>
    <definedName name="Multi2">#REF!</definedName>
    <definedName name="Multi3">#REF!</definedName>
    <definedName name="Multi4">#REF!</definedName>
    <definedName name="MultiNew">#REF!</definedName>
    <definedName name="Operator">#REF!</definedName>
    <definedName name="Param1">'[1]15.3'!$B$54</definedName>
    <definedName name="Param2">'[1]15.3'!$B$55</definedName>
    <definedName name="ParSwapRate">[1]IRCalibration!$C$23</definedName>
    <definedName name="PayRec">'[1]15.3'!$C$8</definedName>
    <definedName name="PFEhigh">'10.2 EPE and PFE'!$C$17</definedName>
    <definedName name="PFElow">'10.2 EPE and PFE'!$C$18</definedName>
    <definedName name="PFEorEPE">#REF!</definedName>
    <definedName name="PFEQuantile">'[1]15.5'!$C$26</definedName>
    <definedName name="PortfolioValue">'10.7 Collateral Impact'!$C$10</definedName>
    <definedName name="PostedIMSeg">'10.7 Collateral Impact'!$F$13</definedName>
    <definedName name="ProductType">'[1]15.5'!$C$10</definedName>
    <definedName name="Quantile">#REF!</definedName>
    <definedName name="Rate">'[1]15.5'!$C$12</definedName>
    <definedName name="Rec">'10.3 CDS Exposure'!#REF!</definedName>
    <definedName name="RecIMSeg">'10.7 Collateral Impact'!$F$12</definedName>
    <definedName name="RNDrift">'[1]15.8'!$C$14</definedName>
    <definedName name="Seed">'[1]15.5'!$C$25</definedName>
    <definedName name="Sigma">'10.2 EPE and PFE'!$C$11</definedName>
    <definedName name="Simulations">'[1]15.5'!$C$24</definedName>
    <definedName name="Size1">#REF!</definedName>
    <definedName name="Size2">#REF!</definedName>
    <definedName name="Size3">#REF!</definedName>
    <definedName name="Size4">#REF!</definedName>
    <definedName name="Size5">#REF!</definedName>
    <definedName name="SpreadVol">'10.3 CDS Exposure'!$C$12</definedName>
    <definedName name="StartTime">'[1]15.5'!$C$13</definedName>
    <definedName name="Threshold1">'[1]15.5'!$C$20</definedName>
    <definedName name="Threshold2">'[1]15.5'!$C$21</definedName>
    <definedName name="TotalMargEPE" localSheetId="5">'10.6 Marginal Exposure'!$C$29</definedName>
    <definedName name="TradeFXRate">'[1]15.8'!$C$12</definedName>
    <definedName name="VariationMargin">'10.7 Collateral Impact'!$C$11</definedName>
    <definedName name="ZCRate">[1]IRCalibration!$C$9:$C$17</definedName>
    <definedName name="ZCTime">[1]IRCalibration!$B$9:$B$17</definedName>
  </definedNames>
  <calcPr calcId="191029" calcMode="manual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0" i="11" l="1"/>
  <c r="C14" i="16"/>
  <c r="E18" i="16"/>
  <c r="D18" i="16"/>
  <c r="C18" i="16"/>
  <c r="E17" i="16"/>
  <c r="D17" i="16"/>
  <c r="C17" i="16"/>
  <c r="C16" i="16"/>
  <c r="E16" i="16"/>
  <c r="E15" i="16"/>
  <c r="E14" i="16"/>
  <c r="D16" i="16"/>
  <c r="D14" i="16"/>
  <c r="D15" i="16"/>
  <c r="C15" i="16"/>
  <c r="C16" i="15"/>
  <c r="F21" i="15"/>
  <c r="B36" i="19" l="1"/>
  <c r="B37" i="19" s="1"/>
  <c r="D35" i="19"/>
  <c r="C35" i="19"/>
  <c r="C22" i="19"/>
  <c r="E27" i="19" s="1"/>
  <c r="C21" i="19"/>
  <c r="E17" i="19"/>
  <c r="D17" i="19"/>
  <c r="K37" i="19" s="1"/>
  <c r="K38" i="19" s="1"/>
  <c r="C17" i="19"/>
  <c r="C18" i="19" l="1"/>
  <c r="C27" i="19"/>
  <c r="C28" i="19" s="1"/>
  <c r="C23" i="19"/>
  <c r="C37" i="19"/>
  <c r="B38" i="19"/>
  <c r="D37" i="19"/>
  <c r="D27" i="19"/>
  <c r="D28" i="19" s="1"/>
  <c r="J37" i="19"/>
  <c r="J38" i="19" s="1"/>
  <c r="D36" i="19"/>
  <c r="E28" i="19"/>
  <c r="C36" i="19"/>
  <c r="G19" i="14"/>
  <c r="F19" i="14"/>
  <c r="G18" i="14"/>
  <c r="F18" i="14"/>
  <c r="H17" i="14"/>
  <c r="G17" i="14"/>
  <c r="F17" i="14"/>
  <c r="H16" i="14"/>
  <c r="H15" i="14"/>
  <c r="H14" i="14"/>
  <c r="H13" i="14"/>
  <c r="H12" i="14"/>
  <c r="H19" i="14" s="1"/>
  <c r="E19" i="14"/>
  <c r="E18" i="14"/>
  <c r="E13" i="14"/>
  <c r="E14" i="14"/>
  <c r="E15" i="14"/>
  <c r="E16" i="14"/>
  <c r="E12" i="14"/>
  <c r="E17" i="14" s="1"/>
  <c r="C29" i="19" l="1"/>
  <c r="C30" i="19" s="1"/>
  <c r="H37" i="19"/>
  <c r="H38" i="19" s="1"/>
  <c r="I37" i="19"/>
  <c r="I38" i="19" s="1"/>
  <c r="B39" i="19"/>
  <c r="D38" i="19"/>
  <c r="C38" i="19"/>
  <c r="H18" i="14"/>
  <c r="D30" i="19" l="1"/>
  <c r="D39" i="19"/>
  <c r="C39" i="19"/>
  <c r="B40" i="19"/>
  <c r="E30" i="19"/>
  <c r="F10" i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19" i="10"/>
  <c r="F18" i="10"/>
  <c r="F17" i="10"/>
  <c r="F16" i="10"/>
  <c r="F20" i="10"/>
  <c r="C20" i="10"/>
  <c r="E20" i="10"/>
  <c r="D20" i="10"/>
  <c r="D19" i="10"/>
  <c r="E19" i="10"/>
  <c r="C19" i="10"/>
  <c r="B41" i="19" l="1"/>
  <c r="D40" i="19"/>
  <c r="C40" i="19"/>
  <c r="D41" i="19" l="1"/>
  <c r="B42" i="19"/>
  <c r="C41" i="19"/>
  <c r="D17" i="14"/>
  <c r="C17" i="14"/>
  <c r="D19" i="14"/>
  <c r="C19" i="14"/>
  <c r="D18" i="14"/>
  <c r="C18" i="14"/>
  <c r="C42" i="19" l="1"/>
  <c r="B43" i="19"/>
  <c r="D42" i="19"/>
  <c r="C19" i="11" a="1"/>
  <c r="C22" i="11" a="1"/>
  <c r="C21" i="11" a="1"/>
  <c r="C20" i="11" a="1"/>
  <c r="D43" i="19" l="1"/>
  <c r="B44" i="19"/>
  <c r="C43" i="19"/>
  <c r="C22" i="11"/>
  <c r="C20" i="11"/>
  <c r="D21" i="11" s="1"/>
  <c r="C21" i="11"/>
  <c r="D22" i="11" s="1"/>
  <c r="C19" i="11"/>
  <c r="D20" i="11" s="1"/>
  <c r="E22" i="11" l="1"/>
  <c r="G20" i="11"/>
  <c r="E20" i="11"/>
  <c r="H20" i="11" s="1" a="1"/>
  <c r="H20" i="11" s="1"/>
  <c r="E21" i="11"/>
  <c r="B45" i="19"/>
  <c r="D44" i="19"/>
  <c r="C44" i="19"/>
  <c r="B46" i="19" l="1"/>
  <c r="D45" i="19"/>
  <c r="C45" i="19"/>
  <c r="F22" i="11"/>
  <c r="F21" i="11"/>
  <c r="D17" i="10"/>
  <c r="D18" i="10"/>
  <c r="D21" i="10"/>
  <c r="D16" i="10"/>
  <c r="C16" i="10"/>
  <c r="G22" i="11" l="1"/>
  <c r="H22" i="11" a="1"/>
  <c r="H22" i="11" s="1"/>
  <c r="G21" i="11"/>
  <c r="H21" i="11" a="1"/>
  <c r="H21" i="11" s="1"/>
  <c r="D46" i="19"/>
  <c r="B47" i="19"/>
  <c r="C46" i="19"/>
  <c r="D47" i="19" l="1"/>
  <c r="C47" i="19"/>
  <c r="B48" i="19"/>
  <c r="E21" i="10"/>
  <c r="C21" i="10"/>
  <c r="E18" i="10"/>
  <c r="C18" i="10"/>
  <c r="E17" i="10"/>
  <c r="C17" i="10"/>
  <c r="E16" i="10"/>
  <c r="F22" i="15"/>
  <c r="F23" i="15"/>
  <c r="F20" i="15"/>
  <c r="C18" i="15"/>
  <c r="C17" i="15"/>
  <c r="C15" i="15"/>
  <c r="C16" i="1"/>
  <c r="I10" i="1" s="1"/>
  <c r="I11" i="1" s="1"/>
  <c r="C17" i="1"/>
  <c r="L10" i="1" s="1"/>
  <c r="L11" i="1" s="1"/>
  <c r="C15" i="1"/>
  <c r="H10" i="1" s="1"/>
  <c r="H11" i="1" s="1"/>
  <c r="C18" i="1"/>
  <c r="M10" i="1" s="1"/>
  <c r="M11" i="1" s="1"/>
  <c r="B18" i="1"/>
  <c r="B17" i="1"/>
  <c r="B49" i="19" l="1"/>
  <c r="D48" i="19"/>
  <c r="C48" i="19"/>
  <c r="B50" i="19" l="1"/>
  <c r="C49" i="19"/>
  <c r="D49" i="19"/>
  <c r="B23" i="11"/>
  <c r="B22" i="10"/>
  <c r="D22" i="10" s="1"/>
  <c r="G10" i="1"/>
  <c r="K10" i="1"/>
  <c r="K11" i="1" s="1"/>
  <c r="C23" i="11" a="1"/>
  <c r="C23" i="11" l="1"/>
  <c r="F23" i="11"/>
  <c r="C50" i="19"/>
  <c r="B51" i="19"/>
  <c r="D50" i="19"/>
  <c r="B23" i="10"/>
  <c r="D23" i="10" s="1"/>
  <c r="C23" i="10"/>
  <c r="E23" i="10"/>
  <c r="E22" i="10"/>
  <c r="C22" i="10"/>
  <c r="B24" i="11"/>
  <c r="B24" i="10"/>
  <c r="D24" i="10" s="1"/>
  <c r="C24" i="11" a="1"/>
  <c r="D24" i="11" l="1"/>
  <c r="D23" i="11"/>
  <c r="C24" i="11"/>
  <c r="F24" i="11"/>
  <c r="B52" i="19"/>
  <c r="D51" i="19"/>
  <c r="C51" i="19"/>
  <c r="E24" i="10"/>
  <c r="C24" i="10"/>
  <c r="G11" i="1"/>
  <c r="B25" i="11"/>
  <c r="B25" i="10"/>
  <c r="D25" i="10" s="1"/>
  <c r="C25" i="11" a="1"/>
  <c r="E23" i="11" l="1"/>
  <c r="H23" i="11" a="1"/>
  <c r="H23" i="11" s="1"/>
  <c r="G23" i="11"/>
  <c r="E24" i="11"/>
  <c r="C25" i="11"/>
  <c r="F25" i="11"/>
  <c r="B53" i="19"/>
  <c r="D52" i="19"/>
  <c r="C52" i="19"/>
  <c r="E25" i="10"/>
  <c r="C25" i="10"/>
  <c r="G12" i="1"/>
  <c r="B26" i="11"/>
  <c r="B26" i="10"/>
  <c r="D26" i="10" s="1"/>
  <c r="C26" i="11" a="1"/>
  <c r="H24" i="11" l="1" a="1"/>
  <c r="H24" i="11" s="1"/>
  <c r="G24" i="11"/>
  <c r="D25" i="11"/>
  <c r="D26" i="11"/>
  <c r="H26" i="11" s="1" a="1"/>
  <c r="H26" i="11" s="1"/>
  <c r="E26" i="11"/>
  <c r="C26" i="11"/>
  <c r="B54" i="19"/>
  <c r="D53" i="19"/>
  <c r="C53" i="19"/>
  <c r="F26" i="11"/>
  <c r="G26" i="11" s="1"/>
  <c r="E26" i="10"/>
  <c r="C26" i="10"/>
  <c r="G13" i="1"/>
  <c r="B27" i="11"/>
  <c r="B27" i="10"/>
  <c r="D27" i="10" s="1"/>
  <c r="C27" i="11" a="1"/>
  <c r="E25" i="11" l="1"/>
  <c r="G25" i="11"/>
  <c r="H25" i="11" a="1"/>
  <c r="H25" i="11" s="1"/>
  <c r="C27" i="11"/>
  <c r="D54" i="19"/>
  <c r="B55" i="19"/>
  <c r="C54" i="19"/>
  <c r="F27" i="11"/>
  <c r="C27" i="10"/>
  <c r="E27" i="10"/>
  <c r="G14" i="1"/>
  <c r="B28" i="11"/>
  <c r="B28" i="10"/>
  <c r="D28" i="10" s="1"/>
  <c r="C28" i="11" a="1"/>
  <c r="D27" i="11" l="1"/>
  <c r="E28" i="11" s="1"/>
  <c r="D28" i="11"/>
  <c r="C28" i="11"/>
  <c r="F28" i="11"/>
  <c r="D55" i="19"/>
  <c r="C55" i="19"/>
  <c r="B56" i="19"/>
  <c r="E28" i="10"/>
  <c r="C28" i="10"/>
  <c r="G15" i="1"/>
  <c r="B29" i="11"/>
  <c r="B29" i="10"/>
  <c r="D29" i="10" s="1"/>
  <c r="C29" i="11" a="1"/>
  <c r="E27" i="11" l="1"/>
  <c r="G28" i="11"/>
  <c r="H28" i="11" a="1"/>
  <c r="H28" i="11" s="1"/>
  <c r="C29" i="11"/>
  <c r="F29" i="11"/>
  <c r="B57" i="19"/>
  <c r="D56" i="19"/>
  <c r="C56" i="19"/>
  <c r="E29" i="10"/>
  <c r="C29" i="10"/>
  <c r="G16" i="1"/>
  <c r="B30" i="11"/>
  <c r="B30" i="10"/>
  <c r="D30" i="10" s="1"/>
  <c r="C30" i="11" a="1"/>
  <c r="G27" i="11" l="1"/>
  <c r="H27" i="11" a="1"/>
  <c r="H27" i="11" s="1"/>
  <c r="D29" i="11"/>
  <c r="C30" i="11"/>
  <c r="F30" i="11"/>
  <c r="B58" i="19"/>
  <c r="C57" i="19"/>
  <c r="D57" i="19"/>
  <c r="E30" i="10"/>
  <c r="C30" i="10"/>
  <c r="G17" i="1"/>
  <c r="B31" i="11"/>
  <c r="B31" i="10"/>
  <c r="D31" i="10" s="1"/>
  <c r="C31" i="11" a="1"/>
  <c r="E29" i="11" l="1"/>
  <c r="G29" i="11"/>
  <c r="H29" i="11" a="1"/>
  <c r="H29" i="11" s="1"/>
  <c r="D30" i="11"/>
  <c r="E30" i="11" s="1"/>
  <c r="G30" i="11" s="1"/>
  <c r="H30" i="11" a="1"/>
  <c r="H30" i="11" s="1"/>
  <c r="C31" i="11"/>
  <c r="F31" i="11"/>
  <c r="C58" i="19"/>
  <c r="B59" i="19"/>
  <c r="D58" i="19"/>
  <c r="C31" i="10"/>
  <c r="E31" i="10"/>
  <c r="G18" i="1"/>
  <c r="B32" i="11"/>
  <c r="B32" i="10"/>
  <c r="D32" i="10" s="1"/>
  <c r="C32" i="11" a="1"/>
  <c r="D31" i="11" l="1"/>
  <c r="E31" i="11" s="1"/>
  <c r="G31" i="11" s="1"/>
  <c r="H31" i="11" a="1"/>
  <c r="H31" i="11" s="1"/>
  <c r="C32" i="11"/>
  <c r="F32" i="11"/>
  <c r="B60" i="19"/>
  <c r="D59" i="19"/>
  <c r="C59" i="19"/>
  <c r="E32" i="10"/>
  <c r="C32" i="10"/>
  <c r="G19" i="1"/>
  <c r="B33" i="11"/>
  <c r="B33" i="10"/>
  <c r="D33" i="10" s="1"/>
  <c r="C33" i="11" a="1"/>
  <c r="D32" i="11" l="1"/>
  <c r="C33" i="11"/>
  <c r="F33" i="11"/>
  <c r="B61" i="19"/>
  <c r="D60" i="19"/>
  <c r="C60" i="19"/>
  <c r="E33" i="10"/>
  <c r="C33" i="10"/>
  <c r="G20" i="1"/>
  <c r="B34" i="11"/>
  <c r="B34" i="10"/>
  <c r="D34" i="10" s="1"/>
  <c r="C34" i="11" a="1"/>
  <c r="E32" i="11" l="1"/>
  <c r="G32" i="11" s="1"/>
  <c r="H32" i="11" a="1"/>
  <c r="H32" i="11" s="1"/>
  <c r="D33" i="11"/>
  <c r="C34" i="11"/>
  <c r="F34" i="11"/>
  <c r="B62" i="19"/>
  <c r="D61" i="19"/>
  <c r="C61" i="19"/>
  <c r="E34" i="10"/>
  <c r="C34" i="10"/>
  <c r="G21" i="1"/>
  <c r="B35" i="11"/>
  <c r="B35" i="10"/>
  <c r="D35" i="10" s="1"/>
  <c r="C35" i="11" a="1"/>
  <c r="E33" i="11" l="1"/>
  <c r="G33" i="11"/>
  <c r="H33" i="11" a="1"/>
  <c r="H33" i="11" s="1"/>
  <c r="D34" i="11"/>
  <c r="E34" i="11" s="1"/>
  <c r="C35" i="11"/>
  <c r="F35" i="11"/>
  <c r="D62" i="19"/>
  <c r="B63" i="19"/>
  <c r="C62" i="19"/>
  <c r="C35" i="10"/>
  <c r="E35" i="10"/>
  <c r="G22" i="1"/>
  <c r="B36" i="11"/>
  <c r="B36" i="10"/>
  <c r="D36" i="10" s="1"/>
  <c r="C36" i="11" a="1"/>
  <c r="H34" i="11" l="1" a="1"/>
  <c r="H34" i="11" s="1"/>
  <c r="G34" i="11"/>
  <c r="D35" i="11"/>
  <c r="C36" i="11"/>
  <c r="F36" i="11"/>
  <c r="D63" i="19"/>
  <c r="C63" i="19"/>
  <c r="B64" i="19"/>
  <c r="E36" i="10"/>
  <c r="C36" i="10"/>
  <c r="G23" i="1"/>
  <c r="B37" i="11"/>
  <c r="B37" i="10"/>
  <c r="D37" i="10" s="1"/>
  <c r="C37" i="11" a="1"/>
  <c r="E35" i="11" l="1"/>
  <c r="G35" i="11"/>
  <c r="H35" i="11" a="1"/>
  <c r="H35" i="11" s="1"/>
  <c r="D36" i="11"/>
  <c r="H36" i="11" a="1"/>
  <c r="H36" i="11" s="1"/>
  <c r="C37" i="11"/>
  <c r="F37" i="11"/>
  <c r="B38" i="11"/>
  <c r="B65" i="19"/>
  <c r="D64" i="19"/>
  <c r="C64" i="19"/>
  <c r="E37" i="10"/>
  <c r="C37" i="10"/>
  <c r="G24" i="1"/>
  <c r="B38" i="10"/>
  <c r="D38" i="10" s="1"/>
  <c r="C38" i="11" a="1"/>
  <c r="E36" i="11" l="1"/>
  <c r="G36" i="11"/>
  <c r="D37" i="11"/>
  <c r="B39" i="11"/>
  <c r="C38" i="11"/>
  <c r="F39" i="11"/>
  <c r="F38" i="11"/>
  <c r="B66" i="19"/>
  <c r="C65" i="19"/>
  <c r="D65" i="19"/>
  <c r="E38" i="10"/>
  <c r="C38" i="10"/>
  <c r="G25" i="1"/>
  <c r="B40" i="11"/>
  <c r="B39" i="10"/>
  <c r="D39" i="10" s="1"/>
  <c r="C40" i="11" a="1"/>
  <c r="E37" i="11" l="1"/>
  <c r="G37" i="11" s="1"/>
  <c r="H37" i="11" a="1"/>
  <c r="H37" i="11" s="1"/>
  <c r="C39" i="11" a="1"/>
  <c r="C39" i="11" s="1"/>
  <c r="D38" i="11"/>
  <c r="C40" i="11"/>
  <c r="F40" i="11"/>
  <c r="C66" i="19"/>
  <c r="B67" i="19"/>
  <c r="D66" i="19"/>
  <c r="C39" i="10"/>
  <c r="E39" i="10"/>
  <c r="G26" i="1"/>
  <c r="B41" i="11"/>
  <c r="B40" i="10"/>
  <c r="D40" i="10" s="1"/>
  <c r="C41" i="11" a="1"/>
  <c r="E38" i="11" l="1"/>
  <c r="D40" i="11"/>
  <c r="D39" i="11"/>
  <c r="E39" i="11" s="1"/>
  <c r="C41" i="11"/>
  <c r="D41" i="11" s="1"/>
  <c r="E41" i="11" s="1"/>
  <c r="B68" i="19"/>
  <c r="D67" i="19"/>
  <c r="C67" i="19"/>
  <c r="E40" i="10"/>
  <c r="C40" i="10"/>
  <c r="G27" i="1"/>
  <c r="F41" i="11"/>
  <c r="B41" i="10"/>
  <c r="D41" i="10" s="1"/>
  <c r="E40" i="11" l="1"/>
  <c r="G39" i="11"/>
  <c r="H39" i="11" a="1"/>
  <c r="H39" i="11" s="1"/>
  <c r="G38" i="11"/>
  <c r="H38" i="11" a="1"/>
  <c r="H38" i="11" s="1"/>
  <c r="H41" i="11" a="1"/>
  <c r="H41" i="11" s="1"/>
  <c r="G41" i="11"/>
  <c r="B69" i="19"/>
  <c r="D68" i="19"/>
  <c r="C68" i="19"/>
  <c r="E41" i="10"/>
  <c r="C41" i="10"/>
  <c r="G28" i="1"/>
  <c r="B42" i="10"/>
  <c r="D42" i="10" s="1"/>
  <c r="H40" i="11" l="1" a="1"/>
  <c r="H40" i="11" s="1"/>
  <c r="G40" i="11"/>
  <c r="B70" i="19"/>
  <c r="D69" i="19"/>
  <c r="C69" i="19"/>
  <c r="E42" i="10"/>
  <c r="C42" i="10"/>
  <c r="G29" i="1"/>
  <c r="B43" i="10"/>
  <c r="D43" i="10" s="1"/>
  <c r="D70" i="19" l="1"/>
  <c r="B71" i="19"/>
  <c r="C70" i="19"/>
  <c r="C43" i="10"/>
  <c r="E43" i="10"/>
  <c r="G30" i="1"/>
  <c r="B44" i="10"/>
  <c r="D44" i="10" s="1"/>
  <c r="D71" i="19" l="1"/>
  <c r="C71" i="19"/>
  <c r="B72" i="19"/>
  <c r="E44" i="10"/>
  <c r="C44" i="10"/>
  <c r="G31" i="1"/>
  <c r="B45" i="10"/>
  <c r="D45" i="10" s="1"/>
  <c r="B73" i="19" l="1"/>
  <c r="D72" i="19"/>
  <c r="C72" i="19"/>
  <c r="E45" i="10"/>
  <c r="C45" i="10"/>
  <c r="G32" i="1"/>
  <c r="B46" i="10"/>
  <c r="D46" i="10" s="1"/>
  <c r="B74" i="19" l="1"/>
  <c r="C73" i="19"/>
  <c r="D73" i="19"/>
  <c r="E46" i="10"/>
  <c r="C46" i="10"/>
  <c r="G33" i="1"/>
  <c r="B47" i="10"/>
  <c r="D47" i="10" s="1"/>
  <c r="C74" i="19" l="1"/>
  <c r="B75" i="19"/>
  <c r="D74" i="19"/>
  <c r="C47" i="10"/>
  <c r="E47" i="10"/>
  <c r="G34" i="1"/>
  <c r="B48" i="10"/>
  <c r="D48" i="10" s="1"/>
  <c r="B76" i="19" l="1"/>
  <c r="D75" i="19"/>
  <c r="C75" i="19"/>
  <c r="E48" i="10"/>
  <c r="C48" i="10"/>
  <c r="G35" i="1"/>
  <c r="B49" i="10"/>
  <c r="D49" i="10" s="1"/>
  <c r="B77" i="19" l="1"/>
  <c r="D76" i="19"/>
  <c r="C76" i="19"/>
  <c r="E49" i="10"/>
  <c r="C49" i="10"/>
  <c r="G36" i="1"/>
  <c r="B50" i="10"/>
  <c r="D50" i="10" s="1"/>
  <c r="B78" i="19" l="1"/>
  <c r="D77" i="19"/>
  <c r="C77" i="19"/>
  <c r="E50" i="10"/>
  <c r="C50" i="10"/>
  <c r="G37" i="1"/>
  <c r="B51" i="10"/>
  <c r="D51" i="10" s="1"/>
  <c r="D78" i="19" l="1"/>
  <c r="B79" i="19"/>
  <c r="C78" i="19"/>
  <c r="C51" i="10"/>
  <c r="E51" i="10"/>
  <c r="G38" i="1"/>
  <c r="B52" i="10"/>
  <c r="D52" i="10" s="1"/>
  <c r="D79" i="19" l="1"/>
  <c r="C79" i="19"/>
  <c r="B80" i="19"/>
  <c r="E52" i="10"/>
  <c r="C52" i="10"/>
  <c r="G39" i="1"/>
  <c r="B53" i="10"/>
  <c r="D53" i="10" s="1"/>
  <c r="B81" i="19" l="1"/>
  <c r="D80" i="19"/>
  <c r="C80" i="19"/>
  <c r="E53" i="10"/>
  <c r="C53" i="10"/>
  <c r="G40" i="1"/>
  <c r="B54" i="10"/>
  <c r="D54" i="10" s="1"/>
  <c r="B82" i="19" l="1"/>
  <c r="C81" i="19"/>
  <c r="D81" i="19"/>
  <c r="E54" i="10"/>
  <c r="C54" i="10"/>
  <c r="G41" i="1"/>
  <c r="B55" i="10"/>
  <c r="D55" i="10" s="1"/>
  <c r="C82" i="19" l="1"/>
  <c r="B83" i="19"/>
  <c r="D82" i="19"/>
  <c r="C55" i="10"/>
  <c r="E55" i="10"/>
  <c r="G42" i="1"/>
  <c r="B56" i="10"/>
  <c r="D56" i="10" s="1"/>
  <c r="B84" i="19" l="1"/>
  <c r="D83" i="19"/>
  <c r="C83" i="19"/>
  <c r="E56" i="10"/>
  <c r="C56" i="10"/>
  <c r="G43" i="1"/>
  <c r="B57" i="10"/>
  <c r="D57" i="10" s="1"/>
  <c r="B85" i="19" l="1"/>
  <c r="D84" i="19"/>
  <c r="C84" i="19"/>
  <c r="E57" i="10"/>
  <c r="C57" i="10"/>
  <c r="G44" i="1"/>
  <c r="B58" i="10"/>
  <c r="D58" i="10" s="1"/>
  <c r="B86" i="19" l="1"/>
  <c r="D85" i="19"/>
  <c r="C85" i="19"/>
  <c r="E58" i="10"/>
  <c r="C58" i="10"/>
  <c r="G45" i="1"/>
  <c r="B59" i="10"/>
  <c r="D59" i="10" s="1"/>
  <c r="D86" i="19" l="1"/>
  <c r="B87" i="19"/>
  <c r="C86" i="19"/>
  <c r="C59" i="10"/>
  <c r="E59" i="10"/>
  <c r="G46" i="1"/>
  <c r="B60" i="10"/>
  <c r="D60" i="10" s="1"/>
  <c r="D87" i="19" l="1"/>
  <c r="C87" i="19"/>
  <c r="B88" i="19"/>
  <c r="E60" i="10"/>
  <c r="C60" i="10"/>
  <c r="G47" i="1"/>
  <c r="B61" i="10"/>
  <c r="D61" i="10" s="1"/>
  <c r="B89" i="19" l="1"/>
  <c r="D88" i="19"/>
  <c r="C88" i="19"/>
  <c r="E61" i="10"/>
  <c r="C61" i="10"/>
  <c r="G48" i="1"/>
  <c r="B62" i="10"/>
  <c r="D62" i="10" s="1"/>
  <c r="B90" i="19" l="1"/>
  <c r="C89" i="19"/>
  <c r="D89" i="19"/>
  <c r="E62" i="10"/>
  <c r="C62" i="10"/>
  <c r="G49" i="1"/>
  <c r="B63" i="10"/>
  <c r="D63" i="10" s="1"/>
  <c r="C90" i="19" l="1"/>
  <c r="B91" i="19"/>
  <c r="D90" i="19"/>
  <c r="C63" i="10"/>
  <c r="E63" i="10"/>
  <c r="G50" i="1"/>
  <c r="B64" i="10"/>
  <c r="D64" i="10" s="1"/>
  <c r="B92" i="19" l="1"/>
  <c r="D91" i="19"/>
  <c r="C91" i="19"/>
  <c r="E64" i="10"/>
  <c r="C64" i="10"/>
  <c r="G51" i="1"/>
  <c r="B65" i="10"/>
  <c r="D65" i="10" s="1"/>
  <c r="B93" i="19" l="1"/>
  <c r="D92" i="19"/>
  <c r="C92" i="19"/>
  <c r="E65" i="10"/>
  <c r="C65" i="10"/>
  <c r="G52" i="1"/>
  <c r="B66" i="10"/>
  <c r="D66" i="10" s="1"/>
  <c r="B94" i="19" l="1"/>
  <c r="D93" i="19"/>
  <c r="C93" i="19"/>
  <c r="E66" i="10"/>
  <c r="C66" i="10"/>
  <c r="G53" i="1"/>
  <c r="B67" i="10"/>
  <c r="D67" i="10" s="1"/>
  <c r="B95" i="19" l="1"/>
  <c r="D94" i="19"/>
  <c r="C94" i="19"/>
  <c r="C67" i="10"/>
  <c r="E67" i="10"/>
  <c r="G54" i="1"/>
  <c r="B68" i="10"/>
  <c r="D68" i="10" s="1"/>
  <c r="D95" i="19" l="1"/>
  <c r="C95" i="19"/>
  <c r="E68" i="10"/>
  <c r="C68" i="10"/>
  <c r="G55" i="1"/>
  <c r="B69" i="10"/>
  <c r="D69" i="10" s="1"/>
  <c r="G38" i="19" l="1"/>
  <c r="E69" i="10"/>
  <c r="C69" i="10"/>
  <c r="G56" i="1"/>
  <c r="G57" i="1" l="1"/>
  <c r="G58" i="1" l="1"/>
  <c r="G59" i="1" l="1"/>
  <c r="G60" i="1" l="1"/>
  <c r="G61" i="1" l="1"/>
  <c r="G62" i="1" l="1"/>
  <c r="G63" i="1" l="1"/>
  <c r="G64" i="1" l="1"/>
  <c r="G65" i="1" l="1"/>
  <c r="G66" i="1" l="1"/>
  <c r="G67" i="1" l="1"/>
  <c r="G68" i="1" l="1"/>
  <c r="G69" i="1" l="1"/>
  <c r="G70" i="1" l="1"/>
  <c r="G71" i="1" l="1"/>
  <c r="G72" i="1" l="1"/>
  <c r="G73" i="1" l="1"/>
  <c r="G74" i="1" l="1"/>
  <c r="G75" i="1" l="1"/>
  <c r="G76" i="1" l="1"/>
  <c r="G77" i="1" l="1"/>
  <c r="G78" i="1" l="1"/>
  <c r="G79" i="1" l="1"/>
  <c r="G81" i="1" l="1"/>
  <c r="G80" i="1"/>
  <c r="G82" i="1" l="1"/>
  <c r="G83" i="1" l="1"/>
  <c r="G84" i="1" l="1"/>
  <c r="G85" i="1" l="1"/>
  <c r="G86" i="1" l="1"/>
  <c r="G87" i="1" l="1"/>
  <c r="G88" i="1" l="1"/>
  <c r="G89" i="1" l="1"/>
  <c r="G90" i="1" l="1"/>
  <c r="G91" i="1" l="1"/>
  <c r="G92" i="1" l="1"/>
  <c r="G93" i="1" l="1"/>
  <c r="G95" i="1" l="1"/>
  <c r="G94" i="1"/>
  <c r="J1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</author>
  </authors>
  <commentList>
    <comment ref="B13" authorId="0" shapeId="0" xr:uid="{FBFCD803-55E1-452B-A40E-5EF013C3FB0A}">
      <text>
        <r>
          <rPr>
            <b/>
            <sz val="9"/>
            <color indexed="81"/>
            <rFont val="Tahoma"/>
            <family val="2"/>
          </rPr>
          <t>IR and FX correlations are assumed to be the same for each interest rate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<sst xmlns="http://schemas.openxmlformats.org/spreadsheetml/2006/main" count="138" uniqueCount="75">
  <si>
    <t>Parameters</t>
  </si>
  <si>
    <t>Calculations</t>
  </si>
  <si>
    <t>Mu (mean)</t>
  </si>
  <si>
    <t>Standard deviation (sigma)</t>
  </si>
  <si>
    <t>Alpha (confidence level)</t>
  </si>
  <si>
    <t>Probability</t>
  </si>
  <si>
    <t>EPE</t>
  </si>
  <si>
    <t>FX Forward</t>
  </si>
  <si>
    <t>Confidence level</t>
  </si>
  <si>
    <t>FX Vol</t>
  </si>
  <si>
    <t>Correlation</t>
  </si>
  <si>
    <t>Duration</t>
  </si>
  <si>
    <t>Def Prob</t>
  </si>
  <si>
    <t>PFE</t>
  </si>
  <si>
    <t>Initial spread</t>
  </si>
  <si>
    <t>Interest rate</t>
  </si>
  <si>
    <t>Spread volatility</t>
  </si>
  <si>
    <t>dSpread</t>
  </si>
  <si>
    <t>Trade 1</t>
  </si>
  <si>
    <t>Trade 2</t>
  </si>
  <si>
    <t>Scenario 1</t>
  </si>
  <si>
    <t>Scenario 2</t>
  </si>
  <si>
    <t>Scenario 3</t>
  </si>
  <si>
    <t>Scenario 4</t>
  </si>
  <si>
    <t>Scenario 5</t>
  </si>
  <si>
    <t>Credit curve</t>
  </si>
  <si>
    <t>Expected positive exposure (EPE)</t>
  </si>
  <si>
    <t>Expected negative exposure (ENE)</t>
  </si>
  <si>
    <t>Future exposure</t>
  </si>
  <si>
    <t>EFV</t>
  </si>
  <si>
    <t>ENE</t>
  </si>
  <si>
    <t>Scenario 6</t>
  </si>
  <si>
    <t>Scenario 7</t>
  </si>
  <si>
    <t>Scenario 8</t>
  </si>
  <si>
    <t>Scenario 9</t>
  </si>
  <si>
    <t>Scenario 10</t>
  </si>
  <si>
    <t>IR Vol 1</t>
  </si>
  <si>
    <t>IR Vol 2</t>
  </si>
  <si>
    <t>XCCY Swap</t>
  </si>
  <si>
    <t>IRS1</t>
  </si>
  <si>
    <t>IRS2</t>
  </si>
  <si>
    <t>Spread</t>
  </si>
  <si>
    <t>Positive exposure</t>
  </si>
  <si>
    <t>Negative exposure</t>
  </si>
  <si>
    <t>Portfolio value</t>
  </si>
  <si>
    <t>Variation margin</t>
  </si>
  <si>
    <t>Initial margin received</t>
  </si>
  <si>
    <t xml:space="preserve">Initial margin posted </t>
  </si>
  <si>
    <t>Funding</t>
  </si>
  <si>
    <t>Total</t>
  </si>
  <si>
    <t>Positive Dependence</t>
  </si>
  <si>
    <t>Negative Dependence</t>
  </si>
  <si>
    <t>Trade 3</t>
  </si>
  <si>
    <t>Mean</t>
  </si>
  <si>
    <t>Std Dev</t>
  </si>
  <si>
    <t>Stand-alone calculations</t>
  </si>
  <si>
    <t>EPE 1 + EPE2</t>
  </si>
  <si>
    <t>Portfolio</t>
  </si>
  <si>
    <t>EPE Allocation</t>
  </si>
  <si>
    <t>Marginal EPE</t>
  </si>
  <si>
    <t>Total EPE</t>
  </si>
  <si>
    <t>Percentage</t>
  </si>
  <si>
    <t>EPE (total)</t>
  </si>
  <si>
    <t>Stand-alone EPE</t>
  </si>
  <si>
    <t>EV</t>
  </si>
  <si>
    <t>Blue = Inputs</t>
  </si>
  <si>
    <t>Grey = Fixed</t>
  </si>
  <si>
    <t>White = Calculations</t>
  </si>
  <si>
    <t>Green = Results</t>
  </si>
  <si>
    <t>Example 1</t>
  </si>
  <si>
    <t>Example 2</t>
  </si>
  <si>
    <t>Example 3</t>
  </si>
  <si>
    <t>Funding (FVA)</t>
  </si>
  <si>
    <t>Funding (MVA)</t>
  </si>
  <si>
    <t>LGD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</si>
</sst>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-* #,##0\ _F_-;\-* #,##0\ _F_-;_-* &quot;-&quot;\ _F_-;_-@_-"/>
    <numFmt numFmtId="165" formatCode="_-* #,##0.00\ _F_-;\-* #,##0.00\ _F_-;_-* &quot;-&quot;??\ _F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0.000000%"/>
    <numFmt numFmtId="169" formatCode="#,##0.0;\-#,##0.0"/>
    <numFmt numFmtId="170" formatCode="0.0%"/>
    <numFmt numFmtId="171" formatCode="0.0000"/>
    <numFmt numFmtId="172" formatCode="0.0"/>
    <numFmt numFmtId="173" formatCode="0.000%"/>
    <numFmt numFmtId="174" formatCode="0.000"/>
    <numFmt numFmtId="175" formatCode="0.000000"/>
    <numFmt numFmtId="176" formatCode="_-* #,##0.000_-;\-* #,##0.000_-;_-* &quot;-&quot;??_-;_-@_-"/>
    <numFmt numFmtId="177" formatCode="0.00000%"/>
    <numFmt numFmtId="178" formatCode="0.00000"/>
  </numFmts>
  <fonts count="38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8.5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0"/>
      <name val="Arial"/>
      <family val="2"/>
    </font>
    <font>
      <b/>
      <sz val="24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B050"/>
      <name val="Arial"/>
      <family val="2"/>
    </font>
    <font>
      <sz val="10"/>
      <color theme="0"/>
      <name val="Arial"/>
      <family val="2"/>
    </font>
    <font>
      <sz val="8"/>
      <color rgb="FF000000"/>
      <name val="Segoe U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darkGray">
        <fgColor indexed="9"/>
        <bgColor indexed="43"/>
      </patternFill>
    </fill>
    <fill>
      <patternFill patternType="mediumGray">
        <fgColor indexed="9"/>
        <b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22" borderId="3" applyNumberFormat="0" applyFont="0" applyBorder="0" applyAlignment="0" applyProtection="0">
      <alignment horizontal="centerContinuous"/>
    </xf>
    <xf numFmtId="0" fontId="8" fillId="23" borderId="4" applyNumberFormat="0" applyBorder="0">
      <alignment horizontal="left"/>
    </xf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24" borderId="5" applyNumberFormat="0" applyFont="0" applyBorder="0" applyAlignment="0">
      <alignment horizontal="centerContinuous"/>
    </xf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" applyNumberFormat="0" applyAlignment="0" applyProtection="0"/>
    <xf numFmtId="0" fontId="16" fillId="0" borderId="9" applyNumberFormat="0" applyFill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>
      <alignment horizontal="right"/>
    </xf>
    <xf numFmtId="0" fontId="17" fillId="25" borderId="0" applyNumberFormat="0" applyBorder="0" applyAlignment="0" applyProtection="0"/>
    <xf numFmtId="0" fontId="26" fillId="0" borderId="0"/>
    <xf numFmtId="0" fontId="1" fillId="0" borderId="0"/>
    <xf numFmtId="0" fontId="2" fillId="26" borderId="10" applyNumberFormat="0" applyFont="0" applyAlignment="0" applyProtection="0"/>
    <xf numFmtId="0" fontId="18" fillId="20" borderId="11" applyNumberFormat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9" fillId="27" borderId="12">
      <alignment horizontal="center"/>
    </xf>
    <xf numFmtId="0" fontId="1" fillId="0" borderId="0">
      <alignment horizontal="left" wrapText="1"/>
    </xf>
    <xf numFmtId="0" fontId="20" fillId="0" borderId="0">
      <alignment horizontal="center"/>
    </xf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24" fillId="28" borderId="0">
      <alignment horizontal="right"/>
    </xf>
    <xf numFmtId="169" fontId="1" fillId="0" borderId="0">
      <alignment horizontal="center"/>
    </xf>
    <xf numFmtId="43" fontId="2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82">
    <xf numFmtId="0" fontId="0" fillId="0" borderId="0" xfId="0"/>
    <xf numFmtId="0" fontId="1" fillId="27" borderId="0" xfId="46" applyFill="1"/>
    <xf numFmtId="9" fontId="0" fillId="0" borderId="0" xfId="0" applyNumberFormat="1"/>
    <xf numFmtId="171" fontId="0" fillId="0" borderId="0" xfId="0" applyNumberFormat="1"/>
    <xf numFmtId="170" fontId="1" fillId="0" borderId="0" xfId="49" applyNumberFormat="1"/>
    <xf numFmtId="174" fontId="0" fillId="0" borderId="0" xfId="0" applyNumberFormat="1"/>
    <xf numFmtId="173" fontId="0" fillId="0" borderId="0" xfId="49" applyNumberFormat="1" applyFont="1"/>
    <xf numFmtId="0" fontId="27" fillId="0" borderId="0" xfId="0" applyFont="1"/>
    <xf numFmtId="174" fontId="27" fillId="0" borderId="0" xfId="0" applyNumberFormat="1" applyFont="1"/>
    <xf numFmtId="173" fontId="0" fillId="0" borderId="0" xfId="0" applyNumberFormat="1"/>
    <xf numFmtId="0" fontId="27" fillId="0" borderId="0" xfId="0" applyFont="1" applyAlignment="1">
      <alignment horizontal="center"/>
    </xf>
    <xf numFmtId="9" fontId="0" fillId="0" borderId="0" xfId="49" applyFont="1"/>
    <xf numFmtId="10" fontId="0" fillId="0" borderId="0" xfId="49" applyNumberFormat="1" applyFont="1"/>
    <xf numFmtId="176" fontId="0" fillId="0" borderId="0" xfId="59" applyNumberFormat="1" applyFont="1"/>
    <xf numFmtId="0" fontId="1" fillId="0" borderId="0" xfId="0" applyFont="1"/>
    <xf numFmtId="171" fontId="1" fillId="0" borderId="0" xfId="0" applyNumberFormat="1" applyFont="1"/>
    <xf numFmtId="170" fontId="1" fillId="0" borderId="0" xfId="49" applyNumberFormat="1" applyFont="1"/>
    <xf numFmtId="1" fontId="29" fillId="0" borderId="0" xfId="0" applyNumberFormat="1" applyFont="1"/>
    <xf numFmtId="174" fontId="1" fillId="0" borderId="0" xfId="0" applyNumberFormat="1" applyFont="1"/>
    <xf numFmtId="0" fontId="1" fillId="0" borderId="0" xfId="0" applyFont="1" applyAlignment="1">
      <alignment horizontal="center"/>
    </xf>
    <xf numFmtId="173" fontId="1" fillId="0" borderId="0" xfId="49" applyNumberFormat="1" applyFont="1"/>
    <xf numFmtId="173" fontId="1" fillId="0" borderId="0" xfId="49" applyNumberFormat="1" applyFont="1" applyBorder="1"/>
    <xf numFmtId="175" fontId="1" fillId="0" borderId="0" xfId="0" applyNumberFormat="1" applyFont="1"/>
    <xf numFmtId="0" fontId="1" fillId="0" borderId="0" xfId="60"/>
    <xf numFmtId="0" fontId="1" fillId="27" borderId="0" xfId="60" applyFill="1"/>
    <xf numFmtId="173" fontId="27" fillId="0" borderId="0" xfId="49" applyNumberFormat="1" applyFont="1"/>
    <xf numFmtId="0" fontId="34" fillId="0" borderId="0" xfId="60" applyFont="1"/>
    <xf numFmtId="0" fontId="36" fillId="0" borderId="0" xfId="60" applyFont="1"/>
    <xf numFmtId="0" fontId="36" fillId="0" borderId="49" xfId="60" applyFont="1" applyBorder="1"/>
    <xf numFmtId="0" fontId="36" fillId="0" borderId="40" xfId="60" applyFont="1" applyBorder="1" applyAlignment="1">
      <alignment horizontal="center"/>
    </xf>
    <xf numFmtId="0" fontId="36" fillId="0" borderId="43" xfId="60" applyFont="1" applyBorder="1" applyAlignment="1">
      <alignment horizontal="center"/>
    </xf>
    <xf numFmtId="174" fontId="36" fillId="0" borderId="0" xfId="60" applyNumberFormat="1" applyFont="1"/>
    <xf numFmtId="0" fontId="36" fillId="0" borderId="15" xfId="60" applyFont="1" applyBorder="1"/>
    <xf numFmtId="10" fontId="36" fillId="0" borderId="0" xfId="61" applyNumberFormat="1" applyFont="1"/>
    <xf numFmtId="0" fontId="36" fillId="0" borderId="16" xfId="60" applyFont="1" applyBorder="1"/>
    <xf numFmtId="9" fontId="37" fillId="0" borderId="42" xfId="61" applyFont="1" applyBorder="1" applyAlignment="1">
      <alignment horizontal="center"/>
    </xf>
    <xf numFmtId="2" fontId="37" fillId="0" borderId="17" xfId="61" applyNumberFormat="1" applyFont="1" applyBorder="1" applyAlignment="1">
      <alignment horizontal="center"/>
    </xf>
    <xf numFmtId="2" fontId="37" fillId="0" borderId="0" xfId="60" applyNumberFormat="1" applyFont="1" applyAlignment="1">
      <alignment horizontal="center"/>
    </xf>
    <xf numFmtId="10" fontId="36" fillId="0" borderId="0" xfId="60" applyNumberFormat="1" applyFont="1"/>
    <xf numFmtId="0" fontId="36" fillId="0" borderId="40" xfId="60" applyFont="1" applyBorder="1"/>
    <xf numFmtId="173" fontId="36" fillId="0" borderId="0" xfId="61" applyNumberFormat="1" applyFont="1"/>
    <xf numFmtId="0" fontId="36" fillId="0" borderId="14" xfId="60" applyFont="1" applyBorder="1"/>
    <xf numFmtId="177" fontId="36" fillId="0" borderId="0" xfId="61" applyNumberFormat="1" applyFont="1"/>
    <xf numFmtId="0" fontId="36" fillId="0" borderId="44" xfId="60" applyFont="1" applyBorder="1" applyAlignment="1">
      <alignment horizontal="center"/>
    </xf>
    <xf numFmtId="0" fontId="36" fillId="0" borderId="39" xfId="60" applyFont="1" applyBorder="1" applyAlignment="1">
      <alignment horizontal="center"/>
    </xf>
    <xf numFmtId="178" fontId="36" fillId="0" borderId="0" xfId="60" applyNumberFormat="1" applyFont="1"/>
    <xf numFmtId="0" fontId="36" fillId="0" borderId="44" xfId="60" applyFont="1" applyBorder="1"/>
    <xf numFmtId="0" fontId="36" fillId="0" borderId="39" xfId="60" applyFont="1" applyBorder="1"/>
    <xf numFmtId="2" fontId="36" fillId="0" borderId="21" xfId="60" applyNumberFormat="1" applyFont="1" applyBorder="1"/>
    <xf numFmtId="178" fontId="36" fillId="0" borderId="18" xfId="60" applyNumberFormat="1" applyFont="1" applyBorder="1"/>
    <xf numFmtId="178" fontId="36" fillId="0" borderId="21" xfId="60" applyNumberFormat="1" applyFont="1" applyBorder="1"/>
    <xf numFmtId="2" fontId="36" fillId="0" borderId="0" xfId="60" applyNumberFormat="1" applyFont="1"/>
    <xf numFmtId="178" fontId="36" fillId="0" borderId="22" xfId="60" applyNumberFormat="1" applyFont="1" applyBorder="1"/>
    <xf numFmtId="178" fontId="36" fillId="0" borderId="20" xfId="60" applyNumberFormat="1" applyFont="1" applyBorder="1"/>
    <xf numFmtId="2" fontId="36" fillId="0" borderId="28" xfId="61" applyNumberFormat="1" applyFont="1" applyBorder="1" applyAlignment="1">
      <alignment horizontal="center"/>
    </xf>
    <xf numFmtId="2" fontId="36" fillId="29" borderId="12" xfId="61" applyNumberFormat="1" applyFont="1" applyFill="1" applyBorder="1" applyAlignment="1">
      <alignment horizontal="center"/>
    </xf>
    <xf numFmtId="2" fontId="36" fillId="29" borderId="28" xfId="61" applyNumberFormat="1" applyFont="1" applyFill="1" applyBorder="1" applyAlignment="1">
      <alignment horizontal="center"/>
    </xf>
    <xf numFmtId="2" fontId="36" fillId="30" borderId="12" xfId="61" applyNumberFormat="1" applyFont="1" applyFill="1" applyBorder="1" applyAlignment="1">
      <alignment horizontal="center"/>
    </xf>
    <xf numFmtId="2" fontId="36" fillId="30" borderId="28" xfId="61" applyNumberFormat="1" applyFont="1" applyFill="1" applyBorder="1" applyAlignment="1">
      <alignment horizontal="center"/>
    </xf>
    <xf numFmtId="9" fontId="36" fillId="30" borderId="42" xfId="61" applyFont="1" applyFill="1" applyBorder="1" applyAlignment="1">
      <alignment horizontal="center"/>
    </xf>
    <xf numFmtId="2" fontId="36" fillId="0" borderId="42" xfId="61" applyNumberFormat="1" applyFont="1" applyBorder="1" applyAlignment="1">
      <alignment horizontal="center"/>
    </xf>
    <xf numFmtId="2" fontId="36" fillId="0" borderId="17" xfId="60" applyNumberFormat="1" applyFont="1" applyBorder="1"/>
    <xf numFmtId="2" fontId="36" fillId="0" borderId="27" xfId="61" applyNumberFormat="1" applyFont="1" applyBorder="1" applyAlignment="1">
      <alignment horizontal="center"/>
    </xf>
    <xf numFmtId="2" fontId="36" fillId="0" borderId="21" xfId="61" applyNumberFormat="1" applyFont="1" applyBorder="1" applyAlignment="1">
      <alignment horizontal="center"/>
    </xf>
    <xf numFmtId="2" fontId="36" fillId="0" borderId="18" xfId="61" applyNumberFormat="1" applyFont="1" applyBorder="1" applyAlignment="1">
      <alignment horizontal="center"/>
    </xf>
    <xf numFmtId="2" fontId="36" fillId="29" borderId="17" xfId="61" applyNumberFormat="1" applyFont="1" applyFill="1" applyBorder="1" applyAlignment="1">
      <alignment horizontal="center"/>
    </xf>
    <xf numFmtId="2" fontId="36" fillId="29" borderId="42" xfId="61" applyNumberFormat="1" applyFont="1" applyFill="1" applyBorder="1" applyAlignment="1">
      <alignment horizontal="center"/>
    </xf>
    <xf numFmtId="2" fontId="36" fillId="29" borderId="21" xfId="61" applyNumberFormat="1" applyFont="1" applyFill="1" applyBorder="1" applyAlignment="1">
      <alignment horizontal="center"/>
    </xf>
    <xf numFmtId="2" fontId="36" fillId="29" borderId="18" xfId="61" applyNumberFormat="1" applyFont="1" applyFill="1" applyBorder="1" applyAlignment="1">
      <alignment horizontal="center"/>
    </xf>
    <xf numFmtId="170" fontId="36" fillId="29" borderId="22" xfId="61" applyNumberFormat="1" applyFont="1" applyFill="1" applyBorder="1" applyAlignment="1">
      <alignment horizontal="center"/>
    </xf>
    <xf numFmtId="170" fontId="36" fillId="29" borderId="17" xfId="61" applyNumberFormat="1" applyFont="1" applyFill="1" applyBorder="1" applyAlignment="1">
      <alignment horizontal="center"/>
    </xf>
    <xf numFmtId="0" fontId="36" fillId="0" borderId="23" xfId="0" applyFont="1" applyBorder="1" applyAlignment="1">
      <alignment horizontal="center"/>
    </xf>
    <xf numFmtId="0" fontId="36" fillId="0" borderId="26" xfId="0" applyFont="1" applyBorder="1" applyAlignment="1">
      <alignment horizontal="center"/>
    </xf>
    <xf numFmtId="0" fontId="36" fillId="0" borderId="0" xfId="0" applyFont="1"/>
    <xf numFmtId="174" fontId="36" fillId="0" borderId="15" xfId="0" applyNumberFormat="1" applyFont="1" applyBorder="1"/>
    <xf numFmtId="170" fontId="36" fillId="0" borderId="0" xfId="49" applyNumberFormat="1" applyFont="1"/>
    <xf numFmtId="174" fontId="36" fillId="0" borderId="14" xfId="0" applyNumberFormat="1" applyFont="1" applyBorder="1"/>
    <xf numFmtId="174" fontId="36" fillId="0" borderId="36" xfId="0" applyNumberFormat="1" applyFont="1" applyBorder="1"/>
    <xf numFmtId="174" fontId="36" fillId="0" borderId="16" xfId="0" applyNumberFormat="1" applyFont="1" applyBorder="1"/>
    <xf numFmtId="174" fontId="36" fillId="0" borderId="0" xfId="0" applyNumberFormat="1" applyFont="1"/>
    <xf numFmtId="171" fontId="36" fillId="0" borderId="0" xfId="0" applyNumberFormat="1" applyFont="1"/>
    <xf numFmtId="1" fontId="36" fillId="30" borderId="28" xfId="0" applyNumberFormat="1" applyFont="1" applyFill="1" applyBorder="1"/>
    <xf numFmtId="1" fontId="36" fillId="30" borderId="27" xfId="0" applyNumberFormat="1" applyFont="1" applyFill="1" applyBorder="1"/>
    <xf numFmtId="0" fontId="36" fillId="30" borderId="28" xfId="0" applyFont="1" applyFill="1" applyBorder="1"/>
    <xf numFmtId="0" fontId="36" fillId="30" borderId="35" xfId="0" applyFont="1" applyFill="1" applyBorder="1"/>
    <xf numFmtId="1" fontId="36" fillId="29" borderId="37" xfId="0" applyNumberFormat="1" applyFont="1" applyFill="1" applyBorder="1"/>
    <xf numFmtId="1" fontId="36" fillId="29" borderId="28" xfId="0" applyNumberFormat="1" applyFont="1" applyFill="1" applyBorder="1"/>
    <xf numFmtId="1" fontId="36" fillId="29" borderId="17" xfId="0" applyNumberFormat="1" applyFont="1" applyFill="1" applyBorder="1"/>
    <xf numFmtId="0" fontId="36" fillId="27" borderId="0" xfId="46" applyFont="1" applyFill="1"/>
    <xf numFmtId="0" fontId="36" fillId="0" borderId="14" xfId="0" applyFont="1" applyBorder="1"/>
    <xf numFmtId="2" fontId="36" fillId="0" borderId="0" xfId="0" applyNumberFormat="1" applyFont="1"/>
    <xf numFmtId="2" fontId="36" fillId="0" borderId="0" xfId="49" applyNumberFormat="1" applyFont="1"/>
    <xf numFmtId="0" fontId="36" fillId="0" borderId="15" xfId="0" applyFont="1" applyBorder="1"/>
    <xf numFmtId="0" fontId="36" fillId="0" borderId="16" xfId="0" applyFont="1" applyBorder="1"/>
    <xf numFmtId="172" fontId="36" fillId="30" borderId="27" xfId="0" applyNumberFormat="1" applyFont="1" applyFill="1" applyBorder="1" applyProtection="1">
      <protection locked="0"/>
    </xf>
    <xf numFmtId="172" fontId="36" fillId="30" borderId="28" xfId="0" applyNumberFormat="1" applyFont="1" applyFill="1" applyBorder="1" applyProtection="1">
      <protection locked="0"/>
    </xf>
    <xf numFmtId="9" fontId="36" fillId="30" borderId="17" xfId="0" applyNumberFormat="1" applyFont="1" applyFill="1" applyBorder="1" applyProtection="1">
      <protection locked="0"/>
    </xf>
    <xf numFmtId="2" fontId="36" fillId="29" borderId="27" xfId="0" applyNumberFormat="1" applyFont="1" applyFill="1" applyBorder="1"/>
    <xf numFmtId="2" fontId="36" fillId="29" borderId="28" xfId="0" applyNumberFormat="1" applyFont="1" applyFill="1" applyBorder="1"/>
    <xf numFmtId="2" fontId="36" fillId="29" borderId="17" xfId="0" applyNumberFormat="1" applyFont="1" applyFill="1" applyBorder="1"/>
    <xf numFmtId="0" fontId="36" fillId="0" borderId="50" xfId="0" applyFont="1" applyBorder="1"/>
    <xf numFmtId="0" fontId="36" fillId="0" borderId="24" xfId="0" applyFont="1" applyBorder="1" applyAlignment="1">
      <alignment horizontal="center"/>
    </xf>
    <xf numFmtId="0" fontId="36" fillId="0" borderId="25" xfId="0" applyFont="1" applyBorder="1" applyAlignment="1">
      <alignment horizontal="center"/>
    </xf>
    <xf numFmtId="2" fontId="36" fillId="0" borderId="14" xfId="0" applyNumberFormat="1" applyFont="1" applyBorder="1"/>
    <xf numFmtId="173" fontId="36" fillId="0" borderId="30" xfId="49" applyNumberFormat="1" applyFont="1" applyBorder="1"/>
    <xf numFmtId="174" fontId="36" fillId="0" borderId="30" xfId="0" applyNumberFormat="1" applyFont="1" applyBorder="1"/>
    <xf numFmtId="174" fontId="36" fillId="0" borderId="31" xfId="0" applyNumberFormat="1" applyFont="1" applyBorder="1"/>
    <xf numFmtId="2" fontId="36" fillId="0" borderId="15" xfId="0" applyNumberFormat="1" applyFont="1" applyBorder="1"/>
    <xf numFmtId="173" fontId="36" fillId="0" borderId="21" xfId="49" applyNumberFormat="1" applyFont="1" applyBorder="1"/>
    <xf numFmtId="10" fontId="36" fillId="0" borderId="21" xfId="49" applyNumberFormat="1" applyFont="1" applyBorder="1"/>
    <xf numFmtId="2" fontId="36" fillId="0" borderId="16" xfId="0" applyNumberFormat="1" applyFont="1" applyBorder="1"/>
    <xf numFmtId="173" fontId="36" fillId="0" borderId="22" xfId="49" applyNumberFormat="1" applyFont="1" applyBorder="1"/>
    <xf numFmtId="174" fontId="36" fillId="0" borderId="19" xfId="0" applyNumberFormat="1" applyFont="1" applyBorder="1"/>
    <xf numFmtId="10" fontId="36" fillId="0" borderId="22" xfId="49" applyNumberFormat="1" applyFont="1" applyBorder="1"/>
    <xf numFmtId="170" fontId="36" fillId="30" borderId="27" xfId="49" applyNumberFormat="1" applyFont="1" applyFill="1" applyBorder="1"/>
    <xf numFmtId="9" fontId="36" fillId="30" borderId="28" xfId="0" applyNumberFormat="1" applyFont="1" applyFill="1" applyBorder="1"/>
    <xf numFmtId="170" fontId="36" fillId="30" borderId="35" xfId="0" applyNumberFormat="1" applyFont="1" applyFill="1" applyBorder="1"/>
    <xf numFmtId="170" fontId="36" fillId="30" borderId="28" xfId="49" applyNumberFormat="1" applyFont="1" applyFill="1" applyBorder="1"/>
    <xf numFmtId="10" fontId="36" fillId="29" borderId="30" xfId="49" applyNumberFormat="1" applyFont="1" applyFill="1" applyBorder="1"/>
    <xf numFmtId="10" fontId="36" fillId="29" borderId="32" xfId="49" applyNumberFormat="1" applyFont="1" applyFill="1" applyBorder="1"/>
    <xf numFmtId="10" fontId="36" fillId="29" borderId="21" xfId="49" applyNumberFormat="1" applyFont="1" applyFill="1" applyBorder="1"/>
    <xf numFmtId="10" fontId="36" fillId="29" borderId="18" xfId="49" applyNumberFormat="1" applyFont="1" applyFill="1" applyBorder="1"/>
    <xf numFmtId="10" fontId="36" fillId="29" borderId="22" xfId="49" applyNumberFormat="1" applyFont="1" applyFill="1" applyBorder="1"/>
    <xf numFmtId="10" fontId="36" fillId="29" borderId="20" xfId="49" applyNumberFormat="1" applyFont="1" applyFill="1" applyBorder="1"/>
    <xf numFmtId="0" fontId="36" fillId="0" borderId="29" xfId="0" applyFont="1" applyBorder="1" applyAlignment="1">
      <alignment horizontal="center"/>
    </xf>
    <xf numFmtId="174" fontId="36" fillId="0" borderId="21" xfId="0" applyNumberFormat="1" applyFont="1" applyBorder="1"/>
    <xf numFmtId="174" fontId="36" fillId="0" borderId="28" xfId="0" applyNumberFormat="1" applyFont="1" applyBorder="1"/>
    <xf numFmtId="174" fontId="36" fillId="0" borderId="22" xfId="0" applyNumberFormat="1" applyFont="1" applyBorder="1"/>
    <xf numFmtId="174" fontId="36" fillId="0" borderId="17" xfId="0" applyNumberFormat="1" applyFont="1" applyBorder="1"/>
    <xf numFmtId="9" fontId="36" fillId="30" borderId="27" xfId="0" applyNumberFormat="1" applyFont="1" applyFill="1" applyBorder="1"/>
    <xf numFmtId="9" fontId="36" fillId="30" borderId="17" xfId="0" applyNumberFormat="1" applyFont="1" applyFill="1" applyBorder="1"/>
    <xf numFmtId="0" fontId="36" fillId="0" borderId="47" xfId="0" applyFont="1" applyBorder="1"/>
    <xf numFmtId="0" fontId="36" fillId="0" borderId="48" xfId="0" applyFont="1" applyBorder="1" applyAlignment="1">
      <alignment horizontal="center"/>
    </xf>
    <xf numFmtId="0" fontId="36" fillId="0" borderId="46" xfId="0" applyFont="1" applyBorder="1" applyAlignment="1">
      <alignment horizontal="center"/>
    </xf>
    <xf numFmtId="0" fontId="36" fillId="0" borderId="34" xfId="0" applyFont="1" applyBorder="1" applyAlignment="1">
      <alignment horizontal="center"/>
    </xf>
    <xf numFmtId="0" fontId="36" fillId="0" borderId="33" xfId="0" applyFont="1" applyBorder="1" applyAlignment="1">
      <alignment horizontal="center"/>
    </xf>
    <xf numFmtId="0" fontId="36" fillId="0" borderId="41" xfId="0" applyFont="1" applyBorder="1" applyAlignment="1">
      <alignment horizontal="center"/>
    </xf>
    <xf numFmtId="1" fontId="36" fillId="32" borderId="21" xfId="0" applyNumberFormat="1" applyFont="1" applyFill="1" applyBorder="1"/>
    <xf numFmtId="1" fontId="36" fillId="32" borderId="0" xfId="0" applyNumberFormat="1" applyFont="1" applyFill="1"/>
    <xf numFmtId="1" fontId="36" fillId="30" borderId="21" xfId="0" applyNumberFormat="1" applyFont="1" applyFill="1" applyBorder="1"/>
    <xf numFmtId="1" fontId="36" fillId="29" borderId="21" xfId="0" applyNumberFormat="1" applyFont="1" applyFill="1" applyBorder="1"/>
    <xf numFmtId="1" fontId="36" fillId="29" borderId="0" xfId="0" applyNumberFormat="1" applyFont="1" applyFill="1"/>
    <xf numFmtId="1" fontId="36" fillId="29" borderId="18" xfId="0" applyNumberFormat="1" applyFont="1" applyFill="1" applyBorder="1"/>
    <xf numFmtId="1" fontId="36" fillId="29" borderId="22" xfId="0" applyNumberFormat="1" applyFont="1" applyFill="1" applyBorder="1"/>
    <xf numFmtId="1" fontId="36" fillId="29" borderId="19" xfId="0" applyNumberFormat="1" applyFont="1" applyFill="1" applyBorder="1"/>
    <xf numFmtId="1" fontId="36" fillId="29" borderId="20" xfId="0" applyNumberFormat="1" applyFont="1" applyFill="1" applyBorder="1"/>
    <xf numFmtId="0" fontId="36" fillId="0" borderId="15" xfId="0" applyFont="1" applyBorder="1" applyAlignment="1">
      <alignment horizontal="left"/>
    </xf>
    <xf numFmtId="174" fontId="36" fillId="0" borderId="15" xfId="0" applyNumberFormat="1" applyFont="1" applyBorder="1" applyAlignment="1">
      <alignment horizontal="left"/>
    </xf>
    <xf numFmtId="0" fontId="0" fillId="0" borderId="49" xfId="0" applyBorder="1"/>
    <xf numFmtId="0" fontId="1" fillId="0" borderId="39" xfId="0" applyFont="1" applyBorder="1"/>
    <xf numFmtId="0" fontId="1" fillId="0" borderId="44" xfId="0" applyFont="1" applyBorder="1"/>
    <xf numFmtId="0" fontId="36" fillId="30" borderId="21" xfId="0" applyFont="1" applyFill="1" applyBorder="1"/>
    <xf numFmtId="0" fontId="36" fillId="29" borderId="21" xfId="0" applyFont="1" applyFill="1" applyBorder="1"/>
    <xf numFmtId="0" fontId="30" fillId="31" borderId="0" xfId="0" applyFont="1" applyFill="1"/>
    <xf numFmtId="1" fontId="1" fillId="30" borderId="12" xfId="0" applyNumberFormat="1" applyFont="1" applyFill="1" applyBorder="1"/>
    <xf numFmtId="0" fontId="1" fillId="30" borderId="37" xfId="0" applyFont="1" applyFill="1" applyBorder="1"/>
    <xf numFmtId="0" fontId="1" fillId="30" borderId="28" xfId="0" applyFont="1" applyFill="1" applyBorder="1"/>
    <xf numFmtId="0" fontId="1" fillId="30" borderId="0" xfId="0" applyFont="1" applyFill="1"/>
    <xf numFmtId="0" fontId="1" fillId="29" borderId="12" xfId="0" applyFont="1" applyFill="1" applyBorder="1"/>
    <xf numFmtId="1" fontId="1" fillId="29" borderId="28" xfId="0" applyNumberFormat="1" applyFont="1" applyFill="1" applyBorder="1"/>
    <xf numFmtId="0" fontId="1" fillId="29" borderId="28" xfId="0" applyFont="1" applyFill="1" applyBorder="1"/>
    <xf numFmtId="0" fontId="1" fillId="29" borderId="21" xfId="0" applyFont="1" applyFill="1" applyBorder="1"/>
    <xf numFmtId="1" fontId="1" fillId="29" borderId="12" xfId="0" applyNumberFormat="1" applyFont="1" applyFill="1" applyBorder="1"/>
    <xf numFmtId="1" fontId="1" fillId="29" borderId="42" xfId="0" applyNumberFormat="1" applyFont="1" applyFill="1" applyBorder="1"/>
    <xf numFmtId="1" fontId="1" fillId="29" borderId="17" xfId="0" applyNumberFormat="1" applyFont="1" applyFill="1" applyBorder="1"/>
    <xf numFmtId="0" fontId="1" fillId="30" borderId="21" xfId="0" applyFont="1" applyFill="1" applyBorder="1"/>
    <xf numFmtId="174" fontId="36" fillId="0" borderId="51" xfId="0" applyNumberFormat="1" applyFont="1" applyBorder="1" applyAlignment="1">
      <alignment horizontal="left"/>
    </xf>
    <xf numFmtId="170" fontId="36" fillId="30" borderId="35" xfId="49" applyNumberFormat="1" applyFont="1" applyFill="1" applyBorder="1"/>
    <xf numFmtId="0" fontId="36" fillId="0" borderId="23" xfId="0" applyFont="1" applyBorder="1" applyAlignment="1">
      <alignment horizontal="center"/>
    </xf>
    <xf numFmtId="0" fontId="36" fillId="0" borderId="26" xfId="0" applyFont="1" applyBorder="1" applyAlignment="1">
      <alignment horizontal="center"/>
    </xf>
    <xf numFmtId="0" fontId="35" fillId="0" borderId="23" xfId="0" applyFont="1" applyBorder="1" applyAlignment="1">
      <alignment horizontal="center"/>
    </xf>
    <xf numFmtId="0" fontId="35" fillId="0" borderId="26" xfId="0" applyFont="1" applyBorder="1" applyAlignment="1">
      <alignment horizontal="center"/>
    </xf>
    <xf numFmtId="0" fontId="35" fillId="0" borderId="14" xfId="0" applyFont="1" applyBorder="1" applyAlignment="1">
      <alignment horizontal="center"/>
    </xf>
    <xf numFmtId="0" fontId="35" fillId="0" borderId="32" xfId="0" applyFont="1" applyBorder="1" applyAlignment="1">
      <alignment horizontal="center"/>
    </xf>
    <xf numFmtId="0" fontId="36" fillId="0" borderId="40" xfId="0" applyFont="1" applyBorder="1" applyAlignment="1">
      <alignment horizontal="center"/>
    </xf>
    <xf numFmtId="0" fontId="36" fillId="0" borderId="38" xfId="0" applyFont="1" applyBorder="1" applyAlignment="1">
      <alignment horizontal="center"/>
    </xf>
    <xf numFmtId="0" fontId="36" fillId="0" borderId="39" xfId="0" applyFont="1" applyBorder="1" applyAlignment="1">
      <alignment horizontal="center"/>
    </xf>
    <xf numFmtId="0" fontId="36" fillId="0" borderId="45" xfId="0" applyFont="1" applyBorder="1" applyAlignment="1">
      <alignment horizontal="center"/>
    </xf>
    <xf numFmtId="0" fontId="35" fillId="0" borderId="23" xfId="60" applyFont="1" applyBorder="1" applyAlignment="1">
      <alignment horizontal="center"/>
    </xf>
    <xf numFmtId="0" fontId="35" fillId="0" borderId="25" xfId="60" applyFont="1" applyBorder="1" applyAlignment="1">
      <alignment horizontal="center"/>
    </xf>
    <xf numFmtId="0" fontId="35" fillId="0" borderId="26" xfId="6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6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59" builtinId="3"/>
    <cellStyle name="Data" xfId="28" xr:uid="{00000000-0005-0000-0000-00001B000000}"/>
    <cellStyle name="DataInput" xfId="29" xr:uid="{00000000-0005-0000-0000-00001C000000}"/>
    <cellStyle name="Explanatory Text" xfId="30" builtinId="53" customBuiltin="1"/>
    <cellStyle name="Good" xfId="31" builtinId="26" customBuiltin="1"/>
    <cellStyle name="Header" xfId="32" xr:uid="{00000000-0005-0000-0000-00001F000000}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Milliers [0]_rating factor" xfId="39" xr:uid="{00000000-0005-0000-0000-000026000000}"/>
    <cellStyle name="Milliers_rating factor" xfId="40" xr:uid="{00000000-0005-0000-0000-000027000000}"/>
    <cellStyle name="Monétaire [0]_rating factor" xfId="41" xr:uid="{00000000-0005-0000-0000-000028000000}"/>
    <cellStyle name="Monétaire_rating factor" xfId="42" xr:uid="{00000000-0005-0000-0000-000029000000}"/>
    <cellStyle name="Month" xfId="43" xr:uid="{00000000-0005-0000-0000-00002A000000}"/>
    <cellStyle name="Neutral" xfId="44" builtinId="28" customBuiltin="1"/>
    <cellStyle name="Normal" xfId="0" builtinId="0"/>
    <cellStyle name="Normal 2" xfId="45" xr:uid="{00000000-0005-0000-0000-00002D000000}"/>
    <cellStyle name="Normal 2 2" xfId="60" xr:uid="{B5A28C97-40FF-41CA-885A-8FA689FC40EB}"/>
    <cellStyle name="Normal_LFS_CollateralandCntrptyRisk" xfId="46" xr:uid="{00000000-0005-0000-0000-00002E000000}"/>
    <cellStyle name="Note" xfId="47" builtinId="10" customBuiltin="1"/>
    <cellStyle name="Output" xfId="48" builtinId="21" customBuiltin="1"/>
    <cellStyle name="Per cent" xfId="49" builtinId="5"/>
    <cellStyle name="Percent 2" xfId="50" xr:uid="{00000000-0005-0000-0000-000032000000}"/>
    <cellStyle name="Percent 2 2" xfId="61" xr:uid="{37AE20C8-9107-4E84-9C57-6922C6623A8C}"/>
    <cellStyle name="PricingProducts" xfId="51" xr:uid="{00000000-0005-0000-0000-000033000000}"/>
    <cellStyle name="Style 1" xfId="52" xr:uid="{00000000-0005-0000-0000-000034000000}"/>
    <cellStyle name="TIMES" xfId="53" xr:uid="{00000000-0005-0000-0000-000035000000}"/>
    <cellStyle name="Title" xfId="54" builtinId="15" customBuiltin="1"/>
    <cellStyle name="Total" xfId="55" builtinId="25" customBuiltin="1"/>
    <cellStyle name="Warning Text" xfId="56" builtinId="11" customBuiltin="1"/>
    <cellStyle name="WASP_PLStyle" xfId="57" xr:uid="{00000000-0005-0000-0000-000039000000}"/>
    <cellStyle name="Year" xfId="58" xr:uid="{00000000-0005-0000-0000-00003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'10.2 EPE and PFE'!$G$9</c:f>
              <c:strCache>
                <c:ptCount val="1"/>
                <c:pt idx="0">
                  <c:v>Probability</c:v>
                </c:pt>
              </c:strCache>
            </c:strRef>
          </c:tx>
          <c:spPr>
            <a:ln w="19050" cap="rnd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'10.2 EPE and PFE'!$F$10:$F$95</c:f>
              <c:numCache>
                <c:formatCode>0.00</c:formatCode>
                <c:ptCount val="86"/>
                <c:pt idx="0">
                  <c:v>-30</c:v>
                </c:pt>
                <c:pt idx="1">
                  <c:v>-29.15</c:v>
                </c:pt>
                <c:pt idx="2">
                  <c:v>-28.299999999999997</c:v>
                </c:pt>
                <c:pt idx="3">
                  <c:v>-27.449999999999996</c:v>
                </c:pt>
                <c:pt idx="4">
                  <c:v>-26.599999999999994</c:v>
                </c:pt>
                <c:pt idx="5">
                  <c:v>-25.749999999999993</c:v>
                </c:pt>
                <c:pt idx="6">
                  <c:v>-24.899999999999991</c:v>
                </c:pt>
                <c:pt idx="7">
                  <c:v>-24.04999999999999</c:v>
                </c:pt>
                <c:pt idx="8">
                  <c:v>-23.199999999999989</c:v>
                </c:pt>
                <c:pt idx="9">
                  <c:v>-22.349999999999987</c:v>
                </c:pt>
                <c:pt idx="10">
                  <c:v>-21.499999999999986</c:v>
                </c:pt>
                <c:pt idx="11">
                  <c:v>-20.649999999999984</c:v>
                </c:pt>
                <c:pt idx="12">
                  <c:v>-19.799999999999983</c:v>
                </c:pt>
                <c:pt idx="13">
                  <c:v>-18.949999999999982</c:v>
                </c:pt>
                <c:pt idx="14">
                  <c:v>-18.09999999999998</c:v>
                </c:pt>
                <c:pt idx="15">
                  <c:v>-17.249999999999979</c:v>
                </c:pt>
                <c:pt idx="16">
                  <c:v>-16.399999999999977</c:v>
                </c:pt>
                <c:pt idx="17">
                  <c:v>-15.549999999999978</c:v>
                </c:pt>
                <c:pt idx="18">
                  <c:v>-14.699999999999978</c:v>
                </c:pt>
                <c:pt idx="19">
                  <c:v>-13.849999999999978</c:v>
                </c:pt>
                <c:pt idx="20">
                  <c:v>-12.999999999999979</c:v>
                </c:pt>
                <c:pt idx="21">
                  <c:v>-12.149999999999979</c:v>
                </c:pt>
                <c:pt idx="22">
                  <c:v>-11.299999999999979</c:v>
                </c:pt>
                <c:pt idx="23">
                  <c:v>-10.44999999999998</c:v>
                </c:pt>
                <c:pt idx="24">
                  <c:v>-9.5999999999999801</c:v>
                </c:pt>
                <c:pt idx="25">
                  <c:v>-8.7499999999999805</c:v>
                </c:pt>
                <c:pt idx="26">
                  <c:v>-7.8999999999999808</c:v>
                </c:pt>
                <c:pt idx="27">
                  <c:v>-7.0499999999999812</c:v>
                </c:pt>
                <c:pt idx="28">
                  <c:v>-6.1999999999999815</c:v>
                </c:pt>
                <c:pt idx="29">
                  <c:v>-5.3499999999999819</c:v>
                </c:pt>
                <c:pt idx="30">
                  <c:v>-4.4999999999999822</c:v>
                </c:pt>
                <c:pt idx="31">
                  <c:v>-3.6499999999999821</c:v>
                </c:pt>
                <c:pt idx="32">
                  <c:v>-2.7999999999999821</c:v>
                </c:pt>
                <c:pt idx="33">
                  <c:v>-1.949999999999982</c:v>
                </c:pt>
                <c:pt idx="34">
                  <c:v>-1.0999999999999819</c:v>
                </c:pt>
                <c:pt idx="35">
                  <c:v>-0.2499999999999819</c:v>
                </c:pt>
                <c:pt idx="36">
                  <c:v>0.60000000000001807</c:v>
                </c:pt>
                <c:pt idx="37">
                  <c:v>1.4500000000000179</c:v>
                </c:pt>
                <c:pt idx="38">
                  <c:v>2.300000000000018</c:v>
                </c:pt>
                <c:pt idx="39">
                  <c:v>3.1500000000000181</c:v>
                </c:pt>
                <c:pt idx="40">
                  <c:v>4.0000000000000178</c:v>
                </c:pt>
                <c:pt idx="41">
                  <c:v>4.8500000000000174</c:v>
                </c:pt>
                <c:pt idx="42">
                  <c:v>5.7000000000000171</c:v>
                </c:pt>
                <c:pt idx="43">
                  <c:v>6.5500000000000167</c:v>
                </c:pt>
                <c:pt idx="44">
                  <c:v>7.4000000000000163</c:v>
                </c:pt>
                <c:pt idx="45">
                  <c:v>8.250000000000016</c:v>
                </c:pt>
                <c:pt idx="46">
                  <c:v>9.1000000000000156</c:v>
                </c:pt>
                <c:pt idx="47">
                  <c:v>9.9500000000000153</c:v>
                </c:pt>
                <c:pt idx="48">
                  <c:v>10.800000000000015</c:v>
                </c:pt>
                <c:pt idx="49">
                  <c:v>11.650000000000015</c:v>
                </c:pt>
                <c:pt idx="50">
                  <c:v>12.500000000000014</c:v>
                </c:pt>
                <c:pt idx="51">
                  <c:v>13.350000000000014</c:v>
                </c:pt>
                <c:pt idx="52">
                  <c:v>14.200000000000014</c:v>
                </c:pt>
                <c:pt idx="53">
                  <c:v>15.050000000000013</c:v>
                </c:pt>
                <c:pt idx="54">
                  <c:v>15.900000000000013</c:v>
                </c:pt>
                <c:pt idx="55">
                  <c:v>16.750000000000014</c:v>
                </c:pt>
                <c:pt idx="56">
                  <c:v>17.600000000000016</c:v>
                </c:pt>
                <c:pt idx="57">
                  <c:v>18.450000000000017</c:v>
                </c:pt>
                <c:pt idx="58">
                  <c:v>19.300000000000018</c:v>
                </c:pt>
                <c:pt idx="59">
                  <c:v>20.15000000000002</c:v>
                </c:pt>
                <c:pt idx="60">
                  <c:v>21.000000000000021</c:v>
                </c:pt>
                <c:pt idx="61">
                  <c:v>21.850000000000023</c:v>
                </c:pt>
                <c:pt idx="62">
                  <c:v>22.700000000000024</c:v>
                </c:pt>
                <c:pt idx="63">
                  <c:v>23.550000000000026</c:v>
                </c:pt>
                <c:pt idx="64">
                  <c:v>24.400000000000027</c:v>
                </c:pt>
                <c:pt idx="65">
                  <c:v>25.250000000000028</c:v>
                </c:pt>
                <c:pt idx="66">
                  <c:v>26.10000000000003</c:v>
                </c:pt>
                <c:pt idx="67">
                  <c:v>26.950000000000031</c:v>
                </c:pt>
                <c:pt idx="68">
                  <c:v>27.800000000000033</c:v>
                </c:pt>
                <c:pt idx="69">
                  <c:v>28.650000000000034</c:v>
                </c:pt>
                <c:pt idx="70">
                  <c:v>29.500000000000036</c:v>
                </c:pt>
                <c:pt idx="71">
                  <c:v>30.350000000000037</c:v>
                </c:pt>
                <c:pt idx="72">
                  <c:v>31.200000000000038</c:v>
                </c:pt>
                <c:pt idx="73">
                  <c:v>32.05000000000004</c:v>
                </c:pt>
                <c:pt idx="74">
                  <c:v>32.900000000000041</c:v>
                </c:pt>
                <c:pt idx="75">
                  <c:v>33.750000000000043</c:v>
                </c:pt>
                <c:pt idx="76">
                  <c:v>34.600000000000044</c:v>
                </c:pt>
                <c:pt idx="77">
                  <c:v>35.450000000000045</c:v>
                </c:pt>
                <c:pt idx="78">
                  <c:v>36.300000000000047</c:v>
                </c:pt>
                <c:pt idx="79">
                  <c:v>37.150000000000048</c:v>
                </c:pt>
                <c:pt idx="80">
                  <c:v>38.00000000000005</c:v>
                </c:pt>
                <c:pt idx="81">
                  <c:v>38.850000000000051</c:v>
                </c:pt>
                <c:pt idx="82">
                  <c:v>39.700000000000053</c:v>
                </c:pt>
                <c:pt idx="83">
                  <c:v>40.550000000000054</c:v>
                </c:pt>
                <c:pt idx="84">
                  <c:v>41.400000000000055</c:v>
                </c:pt>
                <c:pt idx="85">
                  <c:v>42.250000000000057</c:v>
                </c:pt>
              </c:numCache>
            </c:numRef>
          </c:xVal>
          <c:yVal>
            <c:numRef>
              <c:f>'10.2 EPE and PFE'!$G$10:$G$95</c:f>
              <c:numCache>
                <c:formatCode>0.0000</c:formatCode>
                <c:ptCount val="86"/>
                <c:pt idx="0">
                  <c:v>1.574473244292769E-5</c:v>
                </c:pt>
                <c:pt idx="1">
                  <c:v>2.3371231928561497E-5</c:v>
                </c:pt>
                <c:pt idx="2">
                  <c:v>3.43466971519365E-5</c:v>
                </c:pt>
                <c:pt idx="3">
                  <c:v>4.9974149476559161E-5</c:v>
                </c:pt>
                <c:pt idx="4">
                  <c:v>7.1988462366326367E-5</c:v>
                </c:pt>
                <c:pt idx="5">
                  <c:v>1.0266855235832508E-4</c:v>
                </c:pt>
                <c:pt idx="6">
                  <c:v>1.4496696099682626E-4</c:v>
                </c:pt>
                <c:pt idx="7">
                  <c:v>2.0265516930043363E-4</c:v>
                </c:pt>
                <c:pt idx="8">
                  <c:v>2.804809648782178E-4</c:v>
                </c:pt>
                <c:pt idx="9">
                  <c:v>3.8433165367058106E-4</c:v>
                </c:pt>
                <c:pt idx="10">
                  <c:v>5.2139393081623896E-4</c:v>
                </c:pt>
                <c:pt idx="11">
                  <c:v>7.0029793173833948E-4</c:v>
                </c:pt>
                <c:pt idx="12">
                  <c:v>9.3122959799764782E-4</c:v>
                </c:pt>
                <c:pt idx="13">
                  <c:v>1.225992331108547E-3</c:v>
                </c:pt>
                <c:pt idx="14">
                  <c:v>1.5979963804336108E-3</c:v>
                </c:pt>
                <c:pt idx="15">
                  <c:v>2.062152999243371E-3</c:v>
                </c:pt>
                <c:pt idx="16">
                  <c:v>2.6346506229227118E-3</c:v>
                </c:pt>
                <c:pt idx="17">
                  <c:v>3.3325926754825133E-3</c:v>
                </c:pt>
                <c:pt idx="18">
                  <c:v>4.1734815113213678E-3</c:v>
                </c:pt>
                <c:pt idx="19">
                  <c:v>5.1745407035796928E-3</c:v>
                </c:pt>
                <c:pt idx="20">
                  <c:v>6.3518784133162719E-3</c:v>
                </c:pt>
                <c:pt idx="21">
                  <c:v>7.719507620550228E-3</c:v>
                </c:pt>
                <c:pt idx="22">
                  <c:v>9.2882539177522958E-3</c:v>
                </c:pt>
                <c:pt idx="23">
                  <c:v>1.1064597338457332E-2</c:v>
                </c:pt>
                <c:pt idx="24">
                  <c:v>1.3049509962288939E-2</c:v>
                </c:pt>
                <c:pt idx="25">
                  <c:v>1.5237364195987311E-2</c:v>
                </c:pt>
                <c:pt idx="26">
                  <c:v>1.7614995957146513E-2</c:v>
                </c:pt>
                <c:pt idx="27">
                  <c:v>2.0161010829153864E-2</c:v>
                </c:pt>
                <c:pt idx="28">
                  <c:v>2.2845418233319235E-2</c:v>
                </c:pt>
                <c:pt idx="29">
                  <c:v>2.562966788618248E-2</c:v>
                </c:pt>
                <c:pt idx="30">
                  <c:v>2.8467144061075752E-2</c:v>
                </c:pt>
                <c:pt idx="31">
                  <c:v>3.1304147046912388E-2</c:v>
                </c:pt>
                <c:pt idx="32">
                  <c:v>3.408135914840979E-2</c:v>
                </c:pt>
                <c:pt idx="33">
                  <c:v>3.6735756866677849E-2</c:v>
                </c:pt>
                <c:pt idx="34">
                  <c:v>3.9202894457858836E-2</c:v>
                </c:pt>
                <c:pt idx="35">
                  <c:v>4.1419450207564691E-2</c:v>
                </c:pt>
                <c:pt idx="36">
                  <c:v>4.3325898859214541E-2</c:v>
                </c:pt>
                <c:pt idx="37">
                  <c:v>4.4869154760061689E-2</c:v>
                </c:pt>
                <c:pt idx="38">
                  <c:v>4.6005022820641887E-2</c:v>
                </c:pt>
                <c:pt idx="39">
                  <c:v>4.6700299703177864E-2</c:v>
                </c:pt>
                <c:pt idx="40">
                  <c:v>4.6934385929580318E-2</c:v>
                </c:pt>
                <c:pt idx="41">
                  <c:v>4.670029970317785E-2</c:v>
                </c:pt>
                <c:pt idx="42">
                  <c:v>4.6005022820641853E-2</c:v>
                </c:pt>
                <c:pt idx="43">
                  <c:v>4.4869154760061633E-2</c:v>
                </c:pt>
                <c:pt idx="44">
                  <c:v>4.3325898859214479E-2</c:v>
                </c:pt>
                <c:pt idx="45">
                  <c:v>4.1419450207564608E-2</c:v>
                </c:pt>
                <c:pt idx="46">
                  <c:v>3.9202894457858746E-2</c:v>
                </c:pt>
                <c:pt idx="47">
                  <c:v>3.6735756866677752E-2</c:v>
                </c:pt>
                <c:pt idx="48">
                  <c:v>3.4081359148409686E-2</c:v>
                </c:pt>
                <c:pt idx="49">
                  <c:v>3.1304147046912284E-2</c:v>
                </c:pt>
                <c:pt idx="50">
                  <c:v>2.8467144061075637E-2</c:v>
                </c:pt>
                <c:pt idx="51">
                  <c:v>2.5629667886182369E-2</c:v>
                </c:pt>
                <c:pt idx="52">
                  <c:v>2.2845418233319127E-2</c:v>
                </c:pt>
                <c:pt idx="53">
                  <c:v>2.0161010829153767E-2</c:v>
                </c:pt>
                <c:pt idx="54">
                  <c:v>1.7614995957146416E-2</c:v>
                </c:pt>
                <c:pt idx="55">
                  <c:v>1.5237364195987221E-2</c:v>
                </c:pt>
                <c:pt idx="56">
                  <c:v>1.304950996228885E-2</c:v>
                </c:pt>
                <c:pt idx="57">
                  <c:v>1.1064597338457249E-2</c:v>
                </c:pt>
                <c:pt idx="58">
                  <c:v>9.288253917752216E-3</c:v>
                </c:pt>
                <c:pt idx="59">
                  <c:v>7.7195076205501542E-3</c:v>
                </c:pt>
                <c:pt idx="60">
                  <c:v>6.3518784133162077E-3</c:v>
                </c:pt>
                <c:pt idx="61">
                  <c:v>5.1745407035796399E-3</c:v>
                </c:pt>
                <c:pt idx="62">
                  <c:v>4.1734815113213201E-3</c:v>
                </c:pt>
                <c:pt idx="63">
                  <c:v>3.3325926754824682E-3</c:v>
                </c:pt>
                <c:pt idx="64">
                  <c:v>2.634650622922674E-3</c:v>
                </c:pt>
                <c:pt idx="65">
                  <c:v>2.0621529992433389E-3</c:v>
                </c:pt>
                <c:pt idx="66">
                  <c:v>1.5979963804335865E-3</c:v>
                </c:pt>
                <c:pt idx="67">
                  <c:v>1.2259923311085281E-3</c:v>
                </c:pt>
                <c:pt idx="68">
                  <c:v>9.3122959799763296E-4</c:v>
                </c:pt>
                <c:pt idx="69">
                  <c:v>7.0029793173832767E-4</c:v>
                </c:pt>
                <c:pt idx="70">
                  <c:v>5.2139393081622974E-4</c:v>
                </c:pt>
                <c:pt idx="71">
                  <c:v>3.8433165367057358E-4</c:v>
                </c:pt>
                <c:pt idx="72">
                  <c:v>2.8048096487821248E-4</c:v>
                </c:pt>
                <c:pt idx="73">
                  <c:v>2.0265516930042987E-4</c:v>
                </c:pt>
                <c:pt idx="74">
                  <c:v>1.4496696099682344E-4</c:v>
                </c:pt>
                <c:pt idx="75">
                  <c:v>1.0266855235832298E-4</c:v>
                </c:pt>
                <c:pt idx="76">
                  <c:v>7.1988462366324836E-5</c:v>
                </c:pt>
                <c:pt idx="77">
                  <c:v>4.9974149476558016E-5</c:v>
                </c:pt>
                <c:pt idx="78">
                  <c:v>3.4346697151935775E-5</c:v>
                </c:pt>
                <c:pt idx="79">
                  <c:v>2.3371231928560979E-5</c:v>
                </c:pt>
                <c:pt idx="80">
                  <c:v>1.5744732442927297E-5</c:v>
                </c:pt>
                <c:pt idx="81">
                  <c:v>1.0501371432603612E-5</c:v>
                </c:pt>
                <c:pt idx="82">
                  <c:v>6.9344785595927394E-6</c:v>
                </c:pt>
                <c:pt idx="83">
                  <c:v>4.5335525578924829E-6</c:v>
                </c:pt>
                <c:pt idx="84">
                  <c:v>2.9344083870650435E-6</c:v>
                </c:pt>
                <c:pt idx="85">
                  <c:v>1.8804401302241134E-6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105-4D70-8C55-05FA7F924B68}"/>
            </c:ext>
          </c:extLst>
        </c:ser>
        <c:ser>
          <c:idx val="3"/>
          <c:order val="1"/>
          <c:tx>
            <c:v>Mean</c:v>
          </c:tx>
          <c:spPr>
            <a:ln w="19050" cap="rnd">
              <a:solidFill>
                <a:schemeClr val="tx1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'10.2 EPE and PFE'!$K$10:$K$11</c:f>
              <c:numCache>
                <c:formatCode>0.00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'10.2 EPE and PFE'!$J$10:$J$11</c:f>
              <c:numCache>
                <c:formatCode>0.00</c:formatCode>
                <c:ptCount val="2"/>
                <c:pt idx="0">
                  <c:v>0</c:v>
                </c:pt>
                <c:pt idx="1">
                  <c:v>4.6934385929580318E-2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105-4D70-8C55-05FA7F924B68}"/>
            </c:ext>
          </c:extLst>
        </c:ser>
        <c:ser>
          <c:idx val="1"/>
          <c:order val="2"/>
          <c:tx>
            <c:v>EPE</c:v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'10.2 EPE and PFE'!$H$10:$H$11</c:f>
              <c:numCache>
                <c:formatCode>0.00</c:formatCode>
                <c:ptCount val="2"/>
                <c:pt idx="0">
                  <c:v>5.7597057545720194</c:v>
                </c:pt>
                <c:pt idx="1">
                  <c:v>5.7597057545720194</c:v>
                </c:pt>
              </c:numCache>
            </c:numRef>
          </c:xVal>
          <c:yVal>
            <c:numRef>
              <c:f>'10.2 EPE and PFE'!$J$10:$J$11</c:f>
              <c:numCache>
                <c:formatCode>0.00</c:formatCode>
                <c:ptCount val="2"/>
                <c:pt idx="0">
                  <c:v>0</c:v>
                </c:pt>
                <c:pt idx="1">
                  <c:v>4.6934385929580318E-2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105-4D70-8C55-05FA7F924B68}"/>
            </c:ext>
          </c:extLst>
        </c:ser>
        <c:ser>
          <c:idx val="2"/>
          <c:order val="3"/>
          <c:tx>
            <c:v>PFE (high)</c:v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'10.2 EPE and PFE'!$L$10:$L$11</c:f>
              <c:numCache>
                <c:formatCode>General</c:formatCode>
                <c:ptCount val="2"/>
                <c:pt idx="0">
                  <c:v>23.773956929347147</c:v>
                </c:pt>
                <c:pt idx="1">
                  <c:v>23.773956929347147</c:v>
                </c:pt>
              </c:numCache>
            </c:numRef>
          </c:xVal>
          <c:yVal>
            <c:numRef>
              <c:f>'10.2 EPE and PFE'!$J$10:$J$11</c:f>
              <c:numCache>
                <c:formatCode>0.00</c:formatCode>
                <c:ptCount val="2"/>
                <c:pt idx="0">
                  <c:v>0</c:v>
                </c:pt>
                <c:pt idx="1">
                  <c:v>4.6934385929580318E-2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105-4D70-8C55-05FA7F924B68}"/>
            </c:ext>
          </c:extLst>
        </c:ser>
        <c:ser>
          <c:idx val="4"/>
          <c:order val="4"/>
          <c:tx>
            <c:v>PFE (low)</c:v>
          </c:tx>
          <c:spPr>
            <a:ln w="19050" cap="rnd">
              <a:solidFill>
                <a:srgbClr val="C0000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'10.2 EPE and PFE'!$M$10:$M$11</c:f>
              <c:numCache>
                <c:formatCode>0.00</c:formatCode>
                <c:ptCount val="2"/>
                <c:pt idx="0" formatCode="General">
                  <c:v>-15.773956929347147</c:v>
                </c:pt>
                <c:pt idx="1">
                  <c:v>-15.773956929347147</c:v>
                </c:pt>
              </c:numCache>
            </c:numRef>
          </c:xVal>
          <c:yVal>
            <c:numRef>
              <c:f>'10.2 EPE and PFE'!$J$10:$J$11</c:f>
              <c:numCache>
                <c:formatCode>0.00</c:formatCode>
                <c:ptCount val="2"/>
                <c:pt idx="0">
                  <c:v>0</c:v>
                </c:pt>
                <c:pt idx="1">
                  <c:v>4.6934385929580318E-2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C25-4847-AE34-80161718A60B}"/>
            </c:ext>
          </c:extLst>
        </c:ser>
        <c:ser>
          <c:idx val="5"/>
          <c:order val="5"/>
          <c:tx>
            <c:v>ENE</c:v>
          </c:tx>
          <c:spPr>
            <a:ln w="19050" cap="rnd">
              <a:solidFill>
                <a:srgbClr val="0070C0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'10.2 EPE and PFE'!$I$10:$I$11</c:f>
              <c:numCache>
                <c:formatCode>0.00</c:formatCode>
                <c:ptCount val="2"/>
                <c:pt idx="0">
                  <c:v>-1.7597057545720194</c:v>
                </c:pt>
                <c:pt idx="1">
                  <c:v>-1.7597057545720194</c:v>
                </c:pt>
              </c:numCache>
            </c:numRef>
          </c:xVal>
          <c:yVal>
            <c:numRef>
              <c:f>'10.2 EPE and PFE'!$J$10:$J$11</c:f>
              <c:numCache>
                <c:formatCode>0.00</c:formatCode>
                <c:ptCount val="2"/>
                <c:pt idx="0">
                  <c:v>0</c:v>
                </c:pt>
                <c:pt idx="1">
                  <c:v>4.6934385929580318E-2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C25-4847-AE34-80161718A6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5727824"/>
        <c:axId val="1125728152"/>
      </c:scatterChart>
      <c:valAx>
        <c:axId val="1125727824"/>
        <c:scaling>
          <c:orientation val="minMax"/>
        </c:scaling>
        <c:delete val="0"/>
        <c:axPos val="b"/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5728152"/>
        <c:crosses val="autoZero"/>
        <c:crossBetween val="midCat"/>
      </c:valAx>
      <c:valAx>
        <c:axId val="1125728152"/>
        <c:scaling>
          <c:orientation val="minMax"/>
        </c:scaling>
        <c:delete val="1"/>
        <c:axPos val="l"/>
        <c:numFmt formatCode="0.0000" sourceLinked="1"/>
        <c:majorTickMark val="none"/>
        <c:minorTickMark val="none"/>
        <c:tickLblPos val="nextTo"/>
        <c:crossAx val="1125727824"/>
        <c:crossesAt val="0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layout>
        <c:manualLayout>
          <c:xMode val="edge"/>
          <c:yMode val="edge"/>
          <c:x val="0.184365896570621"/>
          <c:y val="2.3255813953488372E-2"/>
          <c:w val="0.63126820685875817"/>
          <c:h val="0.12500091558322651"/>
        </c:manualLayout>
      </c:layout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'10.3 CDS Exposure'!$G$18</c:f>
              <c:strCache>
                <c:ptCount val="1"/>
                <c:pt idx="0">
                  <c:v>EPE</c:v>
                </c:pt>
              </c:strCache>
            </c:strRef>
          </c:tx>
          <c:spPr>
            <a:ln w="19050"/>
          </c:spPr>
          <c:marker>
            <c:symbol val="none"/>
          </c:marker>
          <c:xVal>
            <c:numRef>
              <c:f>'10.3 CDS Exposure'!$B$19:$B$41</c:f>
              <c:numCache>
                <c:formatCode>0.00</c:formatCode>
                <c:ptCount val="23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0.25</c:v>
                </c:pt>
                <c:pt idx="4">
                  <c:v>0.5</c:v>
                </c:pt>
                <c:pt idx="5">
                  <c:v>0.75</c:v>
                </c:pt>
                <c:pt idx="6">
                  <c:v>1</c:v>
                </c:pt>
                <c:pt idx="7">
                  <c:v>1.25</c:v>
                </c:pt>
                <c:pt idx="8">
                  <c:v>1.5</c:v>
                </c:pt>
                <c:pt idx="9">
                  <c:v>1.75</c:v>
                </c:pt>
                <c:pt idx="10">
                  <c:v>2</c:v>
                </c:pt>
                <c:pt idx="11">
                  <c:v>2.25</c:v>
                </c:pt>
                <c:pt idx="12">
                  <c:v>2.5</c:v>
                </c:pt>
                <c:pt idx="13">
                  <c:v>2.75</c:v>
                </c:pt>
                <c:pt idx="14">
                  <c:v>3</c:v>
                </c:pt>
                <c:pt idx="15">
                  <c:v>3.25</c:v>
                </c:pt>
                <c:pt idx="16">
                  <c:v>3.5</c:v>
                </c:pt>
                <c:pt idx="17">
                  <c:v>3.75</c:v>
                </c:pt>
                <c:pt idx="18">
                  <c:v>4</c:v>
                </c:pt>
                <c:pt idx="19">
                  <c:v>4.25</c:v>
                </c:pt>
                <c:pt idx="20">
                  <c:v>4.5</c:v>
                </c:pt>
                <c:pt idx="21">
                  <c:v>4.75</c:v>
                </c:pt>
                <c:pt idx="22">
                  <c:v>5</c:v>
                </c:pt>
              </c:numCache>
            </c:numRef>
          </c:xVal>
          <c:yVal>
            <c:numRef>
              <c:f>'10.3 CDS Exposure'!$G$19:$G$41</c:f>
              <c:numCache>
                <c:formatCode>0.00%</c:formatCode>
                <c:ptCount val="23"/>
                <c:pt idx="0">
                  <c:v>0</c:v>
                </c:pt>
                <c:pt idx="1">
                  <c:v>4.8550845245594384E-3</c:v>
                </c:pt>
                <c:pt idx="2">
                  <c:v>6.5124307420074976E-3</c:v>
                </c:pt>
                <c:pt idx="3">
                  <c:v>1.124654925533914E-2</c:v>
                </c:pt>
                <c:pt idx="4">
                  <c:v>1.6280449969009993E-2</c:v>
                </c:pt>
                <c:pt idx="5">
                  <c:v>1.8654328750359359E-2</c:v>
                </c:pt>
                <c:pt idx="6">
                  <c:v>2.0391485414868647E-2</c:v>
                </c:pt>
                <c:pt idx="7">
                  <c:v>2.1650697124474122E-2</c:v>
                </c:pt>
                <c:pt idx="8">
                  <c:v>2.2532495600000781E-2</c:v>
                </c:pt>
                <c:pt idx="9">
                  <c:v>2.309843846368587E-2</c:v>
                </c:pt>
                <c:pt idx="10">
                  <c:v>2.3389675329931754E-2</c:v>
                </c:pt>
                <c:pt idx="11">
                  <c:v>2.3435399350450629E-2</c:v>
                </c:pt>
                <c:pt idx="12">
                  <c:v>2.325721970065546E-2</c:v>
                </c:pt>
                <c:pt idx="13">
                  <c:v>2.2871660846749121E-2</c:v>
                </c:pt>
                <c:pt idx="14">
                  <c:v>2.2291657250071005E-2</c:v>
                </c:pt>
                <c:pt idx="15">
                  <c:v>2.1527538407000293E-2</c:v>
                </c:pt>
                <c:pt idx="16">
                  <c:v>2.0587683184548622E-2</c:v>
                </c:pt>
                <c:pt idx="17">
                  <c:v>1.9478957816349819E-2</c:v>
                </c:pt>
                <c:pt idx="18">
                  <c:v>1.8207067355232375E-2</c:v>
                </c:pt>
                <c:pt idx="19">
                  <c:v>1.6776780782100792E-2</c:v>
                </c:pt>
                <c:pt idx="20">
                  <c:v>1.5192102798186918E-2</c:v>
                </c:pt>
                <c:pt idx="21">
                  <c:v>1.3456457159571531E-2</c:v>
                </c:pt>
                <c:pt idx="22">
                  <c:v>1.1572736214303924E-2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CD-4E7A-8DE2-8BE99AED1E11}"/>
            </c:ext>
          </c:extLst>
        </c:ser>
        <c:ser>
          <c:idx val="1"/>
          <c:order val="1"/>
          <c:tx>
            <c:strRef>
              <c:f>'10.3 CDS Exposure'!$H$18</c:f>
              <c:strCache>
                <c:ptCount val="1"/>
                <c:pt idx="0">
                  <c:v>PFE</c:v>
                </c:pt>
              </c:strCache>
            </c:strRef>
          </c:tx>
          <c:spPr>
            <a:ln w="19050"/>
          </c:spPr>
          <c:marker>
            <c:symbol val="none"/>
          </c:marker>
          <c:xVal>
            <c:numRef>
              <c:f>'10.3 CDS Exposure'!$B$19:$B$41</c:f>
              <c:numCache>
                <c:formatCode>0.00</c:formatCode>
                <c:ptCount val="23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0.25</c:v>
                </c:pt>
                <c:pt idx="4">
                  <c:v>0.5</c:v>
                </c:pt>
                <c:pt idx="5">
                  <c:v>0.75</c:v>
                </c:pt>
                <c:pt idx="6">
                  <c:v>1</c:v>
                </c:pt>
                <c:pt idx="7">
                  <c:v>1.25</c:v>
                </c:pt>
                <c:pt idx="8">
                  <c:v>1.5</c:v>
                </c:pt>
                <c:pt idx="9">
                  <c:v>1.75</c:v>
                </c:pt>
                <c:pt idx="10">
                  <c:v>2</c:v>
                </c:pt>
                <c:pt idx="11">
                  <c:v>2.25</c:v>
                </c:pt>
                <c:pt idx="12">
                  <c:v>2.5</c:v>
                </c:pt>
                <c:pt idx="13">
                  <c:v>2.75</c:v>
                </c:pt>
                <c:pt idx="14">
                  <c:v>3</c:v>
                </c:pt>
                <c:pt idx="15">
                  <c:v>3.25</c:v>
                </c:pt>
                <c:pt idx="16">
                  <c:v>3.5</c:v>
                </c:pt>
                <c:pt idx="17">
                  <c:v>3.75</c:v>
                </c:pt>
                <c:pt idx="18">
                  <c:v>4</c:v>
                </c:pt>
                <c:pt idx="19">
                  <c:v>4.25</c:v>
                </c:pt>
                <c:pt idx="20">
                  <c:v>4.5</c:v>
                </c:pt>
                <c:pt idx="21">
                  <c:v>4.75</c:v>
                </c:pt>
                <c:pt idx="22">
                  <c:v>5</c:v>
                </c:pt>
              </c:numCache>
            </c:numRef>
          </c:xVal>
          <c:yVal>
            <c:numRef>
              <c:f>'10.3 CDS Exposure'!$H$19:$H$41</c:f>
              <c:numCache>
                <c:formatCode>0.00%</c:formatCode>
                <c:ptCount val="23"/>
                <c:pt idx="0">
                  <c:v>0</c:v>
                </c:pt>
                <c:pt idx="1">
                  <c:v>1.702513584702434E-2</c:v>
                </c:pt>
                <c:pt idx="2">
                  <c:v>2.3825815931219695E-2</c:v>
                </c:pt>
                <c:pt idx="3">
                  <c:v>3.7130923283486904E-2</c:v>
                </c:pt>
                <c:pt idx="4">
                  <c:v>5.0732318417593257E-2</c:v>
                </c:pt>
                <c:pt idx="5">
                  <c:v>5.899314048124453E-2</c:v>
                </c:pt>
                <c:pt idx="6">
                  <c:v>6.4617915438705695E-2</c:v>
                </c:pt>
                <c:pt idx="7">
                  <c:v>6.8259712194237876E-2</c:v>
                </c:pt>
                <c:pt idx="8">
                  <c:v>7.0330653043724337E-2</c:v>
                </c:pt>
                <c:pt idx="9">
                  <c:v>7.1079925193585275E-2</c:v>
                </c:pt>
                <c:pt idx="10">
                  <c:v>7.067216983686668E-2</c:v>
                </c:pt>
                <c:pt idx="11">
                  <c:v>6.9223080933605005E-2</c:v>
                </c:pt>
                <c:pt idx="12">
                  <c:v>6.6817811065610133E-2</c:v>
                </c:pt>
                <c:pt idx="13">
                  <c:v>6.3521428701236712E-2</c:v>
                </c:pt>
                <c:pt idx="14">
                  <c:v>5.9385262826558941E-2</c:v>
                </c:pt>
                <c:pt idx="15">
                  <c:v>5.4451001946084723E-2</c:v>
                </c:pt>
                <c:pt idx="16">
                  <c:v>4.8753436417818312E-2</c:v>
                </c:pt>
                <c:pt idx="17">
                  <c:v>4.2322352963935418E-2</c:v>
                </c:pt>
                <c:pt idx="18">
                  <c:v>3.5183904590643592E-2</c:v>
                </c:pt>
                <c:pt idx="19">
                  <c:v>2.7361579498389438E-2</c:v>
                </c:pt>
                <c:pt idx="20">
                  <c:v>1.8876916289928658E-2</c:v>
                </c:pt>
                <c:pt idx="21">
                  <c:v>9.7500360299015015E-3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ACD-4E7A-8DE2-8BE99AED1E11}"/>
            </c:ext>
          </c:extLst>
        </c:ser>
        <c:ser>
          <c:idx val="2"/>
          <c:order val="2"/>
          <c:tx>
            <c:v>PFE New</c:v>
          </c:tx>
          <c:marker>
            <c:symbol val="none"/>
          </c:marker>
          <c:xVal>
            <c:numRef>
              <c:f>'10.3 CDS Exposure'!$B$19:$B$41</c:f>
              <c:numCache>
                <c:formatCode>0.00</c:formatCode>
                <c:ptCount val="23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0.25</c:v>
                </c:pt>
                <c:pt idx="4">
                  <c:v>0.5</c:v>
                </c:pt>
                <c:pt idx="5">
                  <c:v>0.75</c:v>
                </c:pt>
                <c:pt idx="6">
                  <c:v>1</c:v>
                </c:pt>
                <c:pt idx="7">
                  <c:v>1.25</c:v>
                </c:pt>
                <c:pt idx="8">
                  <c:v>1.5</c:v>
                </c:pt>
                <c:pt idx="9">
                  <c:v>1.75</c:v>
                </c:pt>
                <c:pt idx="10">
                  <c:v>2</c:v>
                </c:pt>
                <c:pt idx="11">
                  <c:v>2.25</c:v>
                </c:pt>
                <c:pt idx="12">
                  <c:v>2.5</c:v>
                </c:pt>
                <c:pt idx="13">
                  <c:v>2.75</c:v>
                </c:pt>
                <c:pt idx="14">
                  <c:v>3</c:v>
                </c:pt>
                <c:pt idx="15">
                  <c:v>3.25</c:v>
                </c:pt>
                <c:pt idx="16">
                  <c:v>3.5</c:v>
                </c:pt>
                <c:pt idx="17">
                  <c:v>3.75</c:v>
                </c:pt>
                <c:pt idx="18">
                  <c:v>4</c:v>
                </c:pt>
                <c:pt idx="19">
                  <c:v>4.25</c:v>
                </c:pt>
                <c:pt idx="20">
                  <c:v>4.5</c:v>
                </c:pt>
                <c:pt idx="21">
                  <c:v>4.75</c:v>
                </c:pt>
                <c:pt idx="22">
                  <c:v>5</c:v>
                </c:pt>
              </c:numCache>
            </c:numRef>
          </c:xVal>
          <c:yVal>
            <c:numRef>
              <c:f>'10.3 CDS Exposure'!$J$18:$J$41</c:f>
              <c:numCache>
                <c:formatCode>General</c:formatCode>
                <c:ptCount val="24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776-4B63-BF18-EA7057ED14B2}"/>
            </c:ext>
          </c:extLst>
        </c:ser>
        <c:ser>
          <c:idx val="3"/>
          <c:order val="3"/>
          <c:tx>
            <c:v>ES</c:v>
          </c:tx>
          <c:marker>
            <c:symbol val="none"/>
          </c:marker>
          <c:xVal>
            <c:numRef>
              <c:f>'10.3 CDS Exposure'!$B$19:$B$41</c:f>
              <c:numCache>
                <c:formatCode>0.00</c:formatCode>
                <c:ptCount val="23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0.25</c:v>
                </c:pt>
                <c:pt idx="4">
                  <c:v>0.5</c:v>
                </c:pt>
                <c:pt idx="5">
                  <c:v>0.75</c:v>
                </c:pt>
                <c:pt idx="6">
                  <c:v>1</c:v>
                </c:pt>
                <c:pt idx="7">
                  <c:v>1.25</c:v>
                </c:pt>
                <c:pt idx="8">
                  <c:v>1.5</c:v>
                </c:pt>
                <c:pt idx="9">
                  <c:v>1.75</c:v>
                </c:pt>
                <c:pt idx="10">
                  <c:v>2</c:v>
                </c:pt>
                <c:pt idx="11">
                  <c:v>2.25</c:v>
                </c:pt>
                <c:pt idx="12">
                  <c:v>2.5</c:v>
                </c:pt>
                <c:pt idx="13">
                  <c:v>2.75</c:v>
                </c:pt>
                <c:pt idx="14">
                  <c:v>3</c:v>
                </c:pt>
                <c:pt idx="15">
                  <c:v>3.25</c:v>
                </c:pt>
                <c:pt idx="16">
                  <c:v>3.5</c:v>
                </c:pt>
                <c:pt idx="17">
                  <c:v>3.75</c:v>
                </c:pt>
                <c:pt idx="18">
                  <c:v>4</c:v>
                </c:pt>
                <c:pt idx="19">
                  <c:v>4.25</c:v>
                </c:pt>
                <c:pt idx="20">
                  <c:v>4.5</c:v>
                </c:pt>
                <c:pt idx="21">
                  <c:v>4.75</c:v>
                </c:pt>
                <c:pt idx="22">
                  <c:v>5</c:v>
                </c:pt>
              </c:numCache>
            </c:numRef>
          </c:xVal>
          <c:yVal>
            <c:numRef>
              <c:f>'10.3 CDS Exposure'!$O$20:$O$41</c:f>
              <c:numCache>
                <c:formatCode>0.00%</c:formatCode>
                <c:ptCount val="22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776-4B63-BF18-EA7057ED14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2314928"/>
        <c:axId val="342315320"/>
      </c:scatterChart>
      <c:valAx>
        <c:axId val="342314928"/>
        <c:scaling>
          <c:orientation val="minMax"/>
          <c:max val="5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Time (years)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2315320"/>
        <c:crosses val="autoZero"/>
        <c:crossBetween val="midCat"/>
      </c:valAx>
      <c:valAx>
        <c:axId val="34231532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PFE</a:t>
                </a:r>
              </a:p>
            </c:rich>
          </c:tx>
          <c:overlay val="0"/>
        </c:title>
        <c:numFmt formatCode="0%" sourceLinked="0"/>
        <c:majorTickMark val="out"/>
        <c:minorTickMark val="none"/>
        <c:tickLblPos val="nextTo"/>
        <c:crossAx val="342314928"/>
        <c:crosses val="autoZero"/>
        <c:crossBetween val="midCat"/>
      </c:valAx>
      <c:spPr>
        <a:ln>
          <a:solidFill>
            <a:schemeClr val="tx1"/>
          </a:solidFill>
        </a:ln>
      </c:spPr>
    </c:plotArea>
    <c:legend>
      <c:legendPos val="t"/>
      <c:layout>
        <c:manualLayout>
          <c:xMode val="edge"/>
          <c:yMode val="edge"/>
          <c:x val="0.27073009623797023"/>
          <c:y val="2.3640661938534278E-2"/>
          <c:w val="0.55126815398075235"/>
          <c:h val="7.1248673703021168E-2"/>
        </c:manualLayout>
      </c:layout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'10.3 CDS Exposure'!$G$18</c:f>
              <c:strCache>
                <c:ptCount val="1"/>
                <c:pt idx="0">
                  <c:v>EPE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'10.3 CDS Exposure'!$B$19:$B$41</c:f>
              <c:numCache>
                <c:formatCode>0.00</c:formatCode>
                <c:ptCount val="23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0.25</c:v>
                </c:pt>
                <c:pt idx="4">
                  <c:v>0.5</c:v>
                </c:pt>
                <c:pt idx="5">
                  <c:v>0.75</c:v>
                </c:pt>
                <c:pt idx="6">
                  <c:v>1</c:v>
                </c:pt>
                <c:pt idx="7">
                  <c:v>1.25</c:v>
                </c:pt>
                <c:pt idx="8">
                  <c:v>1.5</c:v>
                </c:pt>
                <c:pt idx="9">
                  <c:v>1.75</c:v>
                </c:pt>
                <c:pt idx="10">
                  <c:v>2</c:v>
                </c:pt>
                <c:pt idx="11">
                  <c:v>2.25</c:v>
                </c:pt>
                <c:pt idx="12">
                  <c:v>2.5</c:v>
                </c:pt>
                <c:pt idx="13">
                  <c:v>2.75</c:v>
                </c:pt>
                <c:pt idx="14">
                  <c:v>3</c:v>
                </c:pt>
                <c:pt idx="15">
                  <c:v>3.25</c:v>
                </c:pt>
                <c:pt idx="16">
                  <c:v>3.5</c:v>
                </c:pt>
                <c:pt idx="17">
                  <c:v>3.75</c:v>
                </c:pt>
                <c:pt idx="18">
                  <c:v>4</c:v>
                </c:pt>
                <c:pt idx="19">
                  <c:v>4.25</c:v>
                </c:pt>
                <c:pt idx="20">
                  <c:v>4.5</c:v>
                </c:pt>
                <c:pt idx="21">
                  <c:v>4.75</c:v>
                </c:pt>
                <c:pt idx="22">
                  <c:v>5</c:v>
                </c:pt>
              </c:numCache>
            </c:numRef>
          </c:xVal>
          <c:yVal>
            <c:numRef>
              <c:f>'10.3 CDS Exposure'!$G$19:$G$41</c:f>
              <c:numCache>
                <c:formatCode>0.00%</c:formatCode>
                <c:ptCount val="23"/>
                <c:pt idx="0">
                  <c:v>0</c:v>
                </c:pt>
                <c:pt idx="1">
                  <c:v>4.8550845245594384E-3</c:v>
                </c:pt>
                <c:pt idx="2">
                  <c:v>6.5124307420074976E-3</c:v>
                </c:pt>
                <c:pt idx="3">
                  <c:v>1.124654925533914E-2</c:v>
                </c:pt>
                <c:pt idx="4">
                  <c:v>1.6280449969009993E-2</c:v>
                </c:pt>
                <c:pt idx="5">
                  <c:v>1.8654328750359359E-2</c:v>
                </c:pt>
                <c:pt idx="6">
                  <c:v>2.0391485414868647E-2</c:v>
                </c:pt>
                <c:pt idx="7">
                  <c:v>2.1650697124474122E-2</c:v>
                </c:pt>
                <c:pt idx="8">
                  <c:v>2.2532495600000781E-2</c:v>
                </c:pt>
                <c:pt idx="9">
                  <c:v>2.309843846368587E-2</c:v>
                </c:pt>
                <c:pt idx="10">
                  <c:v>2.3389675329931754E-2</c:v>
                </c:pt>
                <c:pt idx="11">
                  <c:v>2.3435399350450629E-2</c:v>
                </c:pt>
                <c:pt idx="12">
                  <c:v>2.325721970065546E-2</c:v>
                </c:pt>
                <c:pt idx="13">
                  <c:v>2.2871660846749121E-2</c:v>
                </c:pt>
                <c:pt idx="14">
                  <c:v>2.2291657250071005E-2</c:v>
                </c:pt>
                <c:pt idx="15">
                  <c:v>2.1527538407000293E-2</c:v>
                </c:pt>
                <c:pt idx="16">
                  <c:v>2.0587683184548622E-2</c:v>
                </c:pt>
                <c:pt idx="17">
                  <c:v>1.9478957816349819E-2</c:v>
                </c:pt>
                <c:pt idx="18">
                  <c:v>1.8207067355232375E-2</c:v>
                </c:pt>
                <c:pt idx="19">
                  <c:v>1.6776780782100792E-2</c:v>
                </c:pt>
                <c:pt idx="20">
                  <c:v>1.5192102798186918E-2</c:v>
                </c:pt>
                <c:pt idx="21">
                  <c:v>1.3456457159571531E-2</c:v>
                </c:pt>
                <c:pt idx="22">
                  <c:v>1.1572736214303924E-2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BD3-4BF5-9795-AA37DB033A55}"/>
            </c:ext>
          </c:extLst>
        </c:ser>
        <c:ser>
          <c:idx val="1"/>
          <c:order val="1"/>
          <c:tx>
            <c:strRef>
              <c:f>'10.3 CDS Exposure'!$H$18</c:f>
              <c:strCache>
                <c:ptCount val="1"/>
                <c:pt idx="0">
                  <c:v>PFE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'10.3 CDS Exposure'!$B$19:$B$41</c:f>
              <c:numCache>
                <c:formatCode>0.00</c:formatCode>
                <c:ptCount val="23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0.25</c:v>
                </c:pt>
                <c:pt idx="4">
                  <c:v>0.5</c:v>
                </c:pt>
                <c:pt idx="5">
                  <c:v>0.75</c:v>
                </c:pt>
                <c:pt idx="6">
                  <c:v>1</c:v>
                </c:pt>
                <c:pt idx="7">
                  <c:v>1.25</c:v>
                </c:pt>
                <c:pt idx="8">
                  <c:v>1.5</c:v>
                </c:pt>
                <c:pt idx="9">
                  <c:v>1.75</c:v>
                </c:pt>
                <c:pt idx="10">
                  <c:v>2</c:v>
                </c:pt>
                <c:pt idx="11">
                  <c:v>2.25</c:v>
                </c:pt>
                <c:pt idx="12">
                  <c:v>2.5</c:v>
                </c:pt>
                <c:pt idx="13">
                  <c:v>2.75</c:v>
                </c:pt>
                <c:pt idx="14">
                  <c:v>3</c:v>
                </c:pt>
                <c:pt idx="15">
                  <c:v>3.25</c:v>
                </c:pt>
                <c:pt idx="16">
                  <c:v>3.5</c:v>
                </c:pt>
                <c:pt idx="17">
                  <c:v>3.75</c:v>
                </c:pt>
                <c:pt idx="18">
                  <c:v>4</c:v>
                </c:pt>
                <c:pt idx="19">
                  <c:v>4.25</c:v>
                </c:pt>
                <c:pt idx="20">
                  <c:v>4.5</c:v>
                </c:pt>
                <c:pt idx="21">
                  <c:v>4.75</c:v>
                </c:pt>
                <c:pt idx="22">
                  <c:v>5</c:v>
                </c:pt>
              </c:numCache>
            </c:numRef>
          </c:xVal>
          <c:yVal>
            <c:numRef>
              <c:f>'10.3 CDS Exposure'!$H$19:$H$41</c:f>
              <c:numCache>
                <c:formatCode>0.00%</c:formatCode>
                <c:ptCount val="23"/>
                <c:pt idx="0">
                  <c:v>0</c:v>
                </c:pt>
                <c:pt idx="1">
                  <c:v>1.702513584702434E-2</c:v>
                </c:pt>
                <c:pt idx="2">
                  <c:v>2.3825815931219695E-2</c:v>
                </c:pt>
                <c:pt idx="3">
                  <c:v>3.7130923283486904E-2</c:v>
                </c:pt>
                <c:pt idx="4">
                  <c:v>5.0732318417593257E-2</c:v>
                </c:pt>
                <c:pt idx="5">
                  <c:v>5.899314048124453E-2</c:v>
                </c:pt>
                <c:pt idx="6">
                  <c:v>6.4617915438705695E-2</c:v>
                </c:pt>
                <c:pt idx="7">
                  <c:v>6.8259712194237876E-2</c:v>
                </c:pt>
                <c:pt idx="8">
                  <c:v>7.0330653043724337E-2</c:v>
                </c:pt>
                <c:pt idx="9">
                  <c:v>7.1079925193585275E-2</c:v>
                </c:pt>
                <c:pt idx="10">
                  <c:v>7.067216983686668E-2</c:v>
                </c:pt>
                <c:pt idx="11">
                  <c:v>6.9223080933605005E-2</c:v>
                </c:pt>
                <c:pt idx="12">
                  <c:v>6.6817811065610133E-2</c:v>
                </c:pt>
                <c:pt idx="13">
                  <c:v>6.3521428701236712E-2</c:v>
                </c:pt>
                <c:pt idx="14">
                  <c:v>5.9385262826558941E-2</c:v>
                </c:pt>
                <c:pt idx="15">
                  <c:v>5.4451001946084723E-2</c:v>
                </c:pt>
                <c:pt idx="16">
                  <c:v>4.8753436417818312E-2</c:v>
                </c:pt>
                <c:pt idx="17">
                  <c:v>4.2322352963935418E-2</c:v>
                </c:pt>
                <c:pt idx="18">
                  <c:v>3.5183904590643592E-2</c:v>
                </c:pt>
                <c:pt idx="19">
                  <c:v>2.7361579498389438E-2</c:v>
                </c:pt>
                <c:pt idx="20">
                  <c:v>1.8876916289928658E-2</c:v>
                </c:pt>
                <c:pt idx="21">
                  <c:v>9.7500360299015015E-3</c:v>
                </c:pt>
                <c:pt idx="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BD3-4BF5-9795-AA37DB033A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1006768"/>
        <c:axId val="871007096"/>
      </c:scatterChart>
      <c:valAx>
        <c:axId val="871006768"/>
        <c:scaling>
          <c:orientation val="minMax"/>
          <c:max val="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1007096"/>
        <c:crosses val="autoZero"/>
        <c:crossBetween val="midCat"/>
      </c:valAx>
      <c:valAx>
        <c:axId val="87100709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EPE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1006768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'10.4 XCCY Swap'!$C$15</c:f>
              <c:strCache>
                <c:ptCount val="1"/>
                <c:pt idx="0">
                  <c:v>IRS1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'10.4 XCCY Swap'!$B$16:$B$69</c:f>
              <c:numCache>
                <c:formatCode>0.000</c:formatCode>
                <c:ptCount val="54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</c:v>
                </c:pt>
                <c:pt idx="4">
                  <c:v>0.3</c:v>
                </c:pt>
                <c:pt idx="5">
                  <c:v>0.4</c:v>
                </c:pt>
                <c:pt idx="6">
                  <c:v>0.60000000000000009</c:v>
                </c:pt>
                <c:pt idx="7">
                  <c:v>0.8</c:v>
                </c:pt>
                <c:pt idx="8">
                  <c:v>1</c:v>
                </c:pt>
                <c:pt idx="9">
                  <c:v>1.2</c:v>
                </c:pt>
                <c:pt idx="10">
                  <c:v>1.4</c:v>
                </c:pt>
                <c:pt idx="11">
                  <c:v>1.5999999999999999</c:v>
                </c:pt>
                <c:pt idx="12">
                  <c:v>1.7999999999999998</c:v>
                </c:pt>
                <c:pt idx="13">
                  <c:v>1.9999999999999998</c:v>
                </c:pt>
                <c:pt idx="14">
                  <c:v>2.1999999999999997</c:v>
                </c:pt>
                <c:pt idx="15">
                  <c:v>2.4</c:v>
                </c:pt>
                <c:pt idx="16">
                  <c:v>2.6</c:v>
                </c:pt>
                <c:pt idx="17">
                  <c:v>2.8000000000000003</c:v>
                </c:pt>
                <c:pt idx="18">
                  <c:v>3.0000000000000004</c:v>
                </c:pt>
                <c:pt idx="19">
                  <c:v>3.2000000000000006</c:v>
                </c:pt>
                <c:pt idx="20">
                  <c:v>3.4000000000000008</c:v>
                </c:pt>
                <c:pt idx="21">
                  <c:v>3.600000000000001</c:v>
                </c:pt>
                <c:pt idx="22">
                  <c:v>3.8000000000000012</c:v>
                </c:pt>
                <c:pt idx="23">
                  <c:v>4.0000000000000009</c:v>
                </c:pt>
                <c:pt idx="24">
                  <c:v>4.2000000000000011</c:v>
                </c:pt>
                <c:pt idx="25">
                  <c:v>4.4000000000000012</c:v>
                </c:pt>
                <c:pt idx="26">
                  <c:v>4.6000000000000014</c:v>
                </c:pt>
                <c:pt idx="27">
                  <c:v>4.8000000000000016</c:v>
                </c:pt>
                <c:pt idx="28">
                  <c:v>5.0000000000000018</c:v>
                </c:pt>
                <c:pt idx="29">
                  <c:v>5.200000000000002</c:v>
                </c:pt>
                <c:pt idx="30">
                  <c:v>5.4000000000000021</c:v>
                </c:pt>
                <c:pt idx="31">
                  <c:v>5.6000000000000023</c:v>
                </c:pt>
                <c:pt idx="32">
                  <c:v>5.8000000000000025</c:v>
                </c:pt>
                <c:pt idx="33">
                  <c:v>6.0000000000000027</c:v>
                </c:pt>
                <c:pt idx="34">
                  <c:v>6.2000000000000028</c:v>
                </c:pt>
                <c:pt idx="35">
                  <c:v>6.400000000000003</c:v>
                </c:pt>
                <c:pt idx="36">
                  <c:v>6.6000000000000032</c:v>
                </c:pt>
                <c:pt idx="37">
                  <c:v>6.8000000000000034</c:v>
                </c:pt>
                <c:pt idx="38">
                  <c:v>7.0000000000000036</c:v>
                </c:pt>
                <c:pt idx="39">
                  <c:v>7.2000000000000037</c:v>
                </c:pt>
                <c:pt idx="40">
                  <c:v>7.4000000000000039</c:v>
                </c:pt>
                <c:pt idx="41">
                  <c:v>7.6000000000000041</c:v>
                </c:pt>
                <c:pt idx="42">
                  <c:v>7.8000000000000043</c:v>
                </c:pt>
                <c:pt idx="43">
                  <c:v>8.0000000000000036</c:v>
                </c:pt>
                <c:pt idx="44">
                  <c:v>8.2000000000000028</c:v>
                </c:pt>
                <c:pt idx="45">
                  <c:v>8.4000000000000021</c:v>
                </c:pt>
                <c:pt idx="46">
                  <c:v>8.6000000000000014</c:v>
                </c:pt>
                <c:pt idx="47">
                  <c:v>8.8000000000000007</c:v>
                </c:pt>
                <c:pt idx="48">
                  <c:v>9</c:v>
                </c:pt>
                <c:pt idx="49">
                  <c:v>9.1999999999999993</c:v>
                </c:pt>
                <c:pt idx="50">
                  <c:v>9.3999999999999986</c:v>
                </c:pt>
                <c:pt idx="51">
                  <c:v>9.5999999999999979</c:v>
                </c:pt>
                <c:pt idx="52">
                  <c:v>9.7999999999999972</c:v>
                </c:pt>
                <c:pt idx="53">
                  <c:v>9.9999999999999964</c:v>
                </c:pt>
              </c:numCache>
            </c:numRef>
          </c:xVal>
          <c:yVal>
            <c:numRef>
              <c:f>'10.4 XCCY Swap'!$C$16:$C$69</c:f>
              <c:numCache>
                <c:formatCode>0.000</c:formatCode>
                <c:ptCount val="54"/>
                <c:pt idx="0">
                  <c:v>0</c:v>
                </c:pt>
                <c:pt idx="1">
                  <c:v>8.8760174778600362E-3</c:v>
                </c:pt>
                <c:pt idx="2">
                  <c:v>1.2489505983999795E-2</c:v>
                </c:pt>
                <c:pt idx="3">
                  <c:v>1.748441633829716E-2</c:v>
                </c:pt>
                <c:pt idx="4">
                  <c:v>2.1195439553486333E-2</c:v>
                </c:pt>
                <c:pt idx="5">
                  <c:v>2.4222072211393539E-2</c:v>
                </c:pt>
                <c:pt idx="6">
                  <c:v>2.9047819992143863E-2</c:v>
                </c:pt>
                <c:pt idx="7">
                  <c:v>3.2827883737210989E-2</c:v>
                </c:pt>
                <c:pt idx="8">
                  <c:v>3.5904805236128941E-2</c:v>
                </c:pt>
                <c:pt idx="9">
                  <c:v>3.8457704756841189E-2</c:v>
                </c:pt>
                <c:pt idx="10">
                  <c:v>4.0594998986953075E-2</c:v>
                </c:pt>
                <c:pt idx="11">
                  <c:v>4.2388626369938696E-2</c:v>
                </c:pt>
                <c:pt idx="12">
                  <c:v>4.3889453257358178E-2</c:v>
                </c:pt>
                <c:pt idx="13">
                  <c:v>4.5135166683820505E-2</c:v>
                </c:pt>
                <c:pt idx="14">
                  <c:v>4.6154708127084935E-2</c:v>
                </c:pt>
                <c:pt idx="15">
                  <c:v>4.6970942966019856E-2</c:v>
                </c:pt>
                <c:pt idx="16">
                  <c:v>4.7602357271097094E-2</c:v>
                </c:pt>
                <c:pt idx="17">
                  <c:v>4.8064184482496719E-2</c:v>
                </c:pt>
                <c:pt idx="18">
                  <c:v>4.8369180925986972E-2</c:v>
                </c:pt>
                <c:pt idx="19">
                  <c:v>4.8528175959355373E-2</c:v>
                </c:pt>
                <c:pt idx="20">
                  <c:v>4.8550472388723537E-2</c:v>
                </c:pt>
                <c:pt idx="21">
                  <c:v>4.8444144422787078E-2</c:v>
                </c:pt>
                <c:pt idx="22">
                  <c:v>4.8216263695271266E-2</c:v>
                </c:pt>
                <c:pt idx="23">
                  <c:v>4.7873073648171921E-2</c:v>
                </c:pt>
                <c:pt idx="24">
                  <c:v>4.7420126106504298E-2</c:v>
                </c:pt>
                <c:pt idx="25">
                  <c:v>4.6862389682550416E-2</c:v>
                </c:pt>
                <c:pt idx="26">
                  <c:v>4.6204336859838685E-2</c:v>
                </c:pt>
                <c:pt idx="27">
                  <c:v>4.5450014712630493E-2</c:v>
                </c:pt>
                <c:pt idx="28">
                  <c:v>4.4603102903819275E-2</c:v>
                </c:pt>
                <c:pt idx="29">
                  <c:v>4.3666961678085404E-2</c:v>
                </c:pt>
                <c:pt idx="30">
                  <c:v>4.2644671903360118E-2</c:v>
                </c:pt>
                <c:pt idx="31">
                  <c:v>4.1539068730835689E-2</c:v>
                </c:pt>
                <c:pt idx="32">
                  <c:v>4.0352770087836581E-2</c:v>
                </c:pt>
                <c:pt idx="33">
                  <c:v>3.908820095223358E-2</c:v>
                </c:pt>
                <c:pt idx="34">
                  <c:v>3.774761415656782E-2</c:v>
                </c:pt>
                <c:pt idx="35">
                  <c:v>3.633310831709028E-2</c:v>
                </c:pt>
                <c:pt idx="36">
                  <c:v>3.4846643365092182E-2</c:v>
                </c:pt>
                <c:pt idx="37">
                  <c:v>3.3290054066304607E-2</c:v>
                </c:pt>
                <c:pt idx="38">
                  <c:v>3.1665061842335612E-2</c:v>
                </c:pt>
                <c:pt idx="39">
                  <c:v>2.9973285151366519E-2</c:v>
                </c:pt>
                <c:pt idx="40">
                  <c:v>2.8216248640152281E-2</c:v>
                </c:pt>
                <c:pt idx="41">
                  <c:v>2.6395391243152263E-2</c:v>
                </c:pt>
                <c:pt idx="42">
                  <c:v>2.451207337539037E-2</c:v>
                </c:pt>
                <c:pt idx="43">
                  <c:v>2.2567583341910221E-2</c:v>
                </c:pt>
                <c:pt idx="44">
                  <c:v>2.0563143067307253E-2</c:v>
                </c:pt>
                <c:pt idx="45">
                  <c:v>1.8499913232899522E-2</c:v>
                </c:pt>
                <c:pt idx="46">
                  <c:v>1.6378997895955E-2</c:v>
                </c:pt>
                <c:pt idx="47">
                  <c:v>1.4201448654487667E-2</c:v>
                </c:pt>
                <c:pt idx="48">
                  <c:v>1.1968268412042982E-2</c:v>
                </c:pt>
                <c:pt idx="49">
                  <c:v>9.680414789279855E-3</c:v>
                </c:pt>
                <c:pt idx="50">
                  <c:v>7.3388032227535331E-3</c:v>
                </c:pt>
                <c:pt idx="51">
                  <c:v>4.9443097858968528E-3</c:v>
                </c:pt>
                <c:pt idx="52">
                  <c:v>2.4977737626139147E-3</c:v>
                </c:pt>
                <c:pt idx="53">
                  <c:v>4.4819837122037135E-17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099-490C-A6BD-B952EF92AB10}"/>
            </c:ext>
          </c:extLst>
        </c:ser>
        <c:ser>
          <c:idx val="1"/>
          <c:order val="1"/>
          <c:tx>
            <c:strRef>
              <c:f>'10.4 XCCY Swap'!$D$15</c:f>
              <c:strCache>
                <c:ptCount val="1"/>
                <c:pt idx="0">
                  <c:v>IRS2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'10.4 XCCY Swap'!$B$16:$B$69</c:f>
              <c:numCache>
                <c:formatCode>0.000</c:formatCode>
                <c:ptCount val="54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</c:v>
                </c:pt>
                <c:pt idx="4">
                  <c:v>0.3</c:v>
                </c:pt>
                <c:pt idx="5">
                  <c:v>0.4</c:v>
                </c:pt>
                <c:pt idx="6">
                  <c:v>0.60000000000000009</c:v>
                </c:pt>
                <c:pt idx="7">
                  <c:v>0.8</c:v>
                </c:pt>
                <c:pt idx="8">
                  <c:v>1</c:v>
                </c:pt>
                <c:pt idx="9">
                  <c:v>1.2</c:v>
                </c:pt>
                <c:pt idx="10">
                  <c:v>1.4</c:v>
                </c:pt>
                <c:pt idx="11">
                  <c:v>1.5999999999999999</c:v>
                </c:pt>
                <c:pt idx="12">
                  <c:v>1.7999999999999998</c:v>
                </c:pt>
                <c:pt idx="13">
                  <c:v>1.9999999999999998</c:v>
                </c:pt>
                <c:pt idx="14">
                  <c:v>2.1999999999999997</c:v>
                </c:pt>
                <c:pt idx="15">
                  <c:v>2.4</c:v>
                </c:pt>
                <c:pt idx="16">
                  <c:v>2.6</c:v>
                </c:pt>
                <c:pt idx="17">
                  <c:v>2.8000000000000003</c:v>
                </c:pt>
                <c:pt idx="18">
                  <c:v>3.0000000000000004</c:v>
                </c:pt>
                <c:pt idx="19">
                  <c:v>3.2000000000000006</c:v>
                </c:pt>
                <c:pt idx="20">
                  <c:v>3.4000000000000008</c:v>
                </c:pt>
                <c:pt idx="21">
                  <c:v>3.600000000000001</c:v>
                </c:pt>
                <c:pt idx="22">
                  <c:v>3.8000000000000012</c:v>
                </c:pt>
                <c:pt idx="23">
                  <c:v>4.0000000000000009</c:v>
                </c:pt>
                <c:pt idx="24">
                  <c:v>4.2000000000000011</c:v>
                </c:pt>
                <c:pt idx="25">
                  <c:v>4.4000000000000012</c:v>
                </c:pt>
                <c:pt idx="26">
                  <c:v>4.6000000000000014</c:v>
                </c:pt>
                <c:pt idx="27">
                  <c:v>4.8000000000000016</c:v>
                </c:pt>
                <c:pt idx="28">
                  <c:v>5.0000000000000018</c:v>
                </c:pt>
                <c:pt idx="29">
                  <c:v>5.200000000000002</c:v>
                </c:pt>
                <c:pt idx="30">
                  <c:v>5.4000000000000021</c:v>
                </c:pt>
                <c:pt idx="31">
                  <c:v>5.6000000000000023</c:v>
                </c:pt>
                <c:pt idx="32">
                  <c:v>5.8000000000000025</c:v>
                </c:pt>
                <c:pt idx="33">
                  <c:v>6.0000000000000027</c:v>
                </c:pt>
                <c:pt idx="34">
                  <c:v>6.2000000000000028</c:v>
                </c:pt>
                <c:pt idx="35">
                  <c:v>6.400000000000003</c:v>
                </c:pt>
                <c:pt idx="36">
                  <c:v>6.6000000000000032</c:v>
                </c:pt>
                <c:pt idx="37">
                  <c:v>6.8000000000000034</c:v>
                </c:pt>
                <c:pt idx="38">
                  <c:v>7.0000000000000036</c:v>
                </c:pt>
                <c:pt idx="39">
                  <c:v>7.2000000000000037</c:v>
                </c:pt>
                <c:pt idx="40">
                  <c:v>7.4000000000000039</c:v>
                </c:pt>
                <c:pt idx="41">
                  <c:v>7.6000000000000041</c:v>
                </c:pt>
                <c:pt idx="42">
                  <c:v>7.8000000000000043</c:v>
                </c:pt>
                <c:pt idx="43">
                  <c:v>8.0000000000000036</c:v>
                </c:pt>
                <c:pt idx="44">
                  <c:v>8.2000000000000028</c:v>
                </c:pt>
                <c:pt idx="45">
                  <c:v>8.4000000000000021</c:v>
                </c:pt>
                <c:pt idx="46">
                  <c:v>8.6000000000000014</c:v>
                </c:pt>
                <c:pt idx="47">
                  <c:v>8.8000000000000007</c:v>
                </c:pt>
                <c:pt idx="48">
                  <c:v>9</c:v>
                </c:pt>
                <c:pt idx="49">
                  <c:v>9.1999999999999993</c:v>
                </c:pt>
                <c:pt idx="50">
                  <c:v>9.3999999999999986</c:v>
                </c:pt>
                <c:pt idx="51">
                  <c:v>9.5999999999999979</c:v>
                </c:pt>
                <c:pt idx="52">
                  <c:v>9.7999999999999972</c:v>
                </c:pt>
                <c:pt idx="53">
                  <c:v>9.9999999999999964</c:v>
                </c:pt>
              </c:numCache>
            </c:numRef>
          </c:xVal>
          <c:yVal>
            <c:numRef>
              <c:f>'10.4 XCCY Swap'!$D$16:$D$69</c:f>
              <c:numCache>
                <c:formatCode>0.000</c:formatCode>
                <c:ptCount val="54"/>
                <c:pt idx="0">
                  <c:v>0</c:v>
                </c:pt>
                <c:pt idx="1">
                  <c:v>8.8760174778600362E-3</c:v>
                </c:pt>
                <c:pt idx="2">
                  <c:v>1.2489505983999795E-2</c:v>
                </c:pt>
                <c:pt idx="3">
                  <c:v>1.748441633829716E-2</c:v>
                </c:pt>
                <c:pt idx="4">
                  <c:v>2.1195439553486333E-2</c:v>
                </c:pt>
                <c:pt idx="5">
                  <c:v>2.4222072211393539E-2</c:v>
                </c:pt>
                <c:pt idx="6">
                  <c:v>2.9047819992143863E-2</c:v>
                </c:pt>
                <c:pt idx="7">
                  <c:v>3.2827883737210989E-2</c:v>
                </c:pt>
                <c:pt idx="8">
                  <c:v>3.5904805236128941E-2</c:v>
                </c:pt>
                <c:pt idx="9">
                  <c:v>3.8457704756841189E-2</c:v>
                </c:pt>
                <c:pt idx="10">
                  <c:v>4.0594998986953075E-2</c:v>
                </c:pt>
                <c:pt idx="11">
                  <c:v>4.2388626369938696E-2</c:v>
                </c:pt>
                <c:pt idx="12">
                  <c:v>4.3889453257358178E-2</c:v>
                </c:pt>
                <c:pt idx="13">
                  <c:v>4.5135166683820505E-2</c:v>
                </c:pt>
                <c:pt idx="14">
                  <c:v>4.6154708127084935E-2</c:v>
                </c:pt>
                <c:pt idx="15">
                  <c:v>4.6970942966019856E-2</c:v>
                </c:pt>
                <c:pt idx="16">
                  <c:v>4.7602357271097094E-2</c:v>
                </c:pt>
                <c:pt idx="17">
                  <c:v>4.8064184482496719E-2</c:v>
                </c:pt>
                <c:pt idx="18">
                  <c:v>4.8369180925986972E-2</c:v>
                </c:pt>
                <c:pt idx="19">
                  <c:v>4.8528175959355373E-2</c:v>
                </c:pt>
                <c:pt idx="20">
                  <c:v>4.8550472388723537E-2</c:v>
                </c:pt>
                <c:pt idx="21">
                  <c:v>4.8444144422787078E-2</c:v>
                </c:pt>
                <c:pt idx="22">
                  <c:v>4.8216263695271266E-2</c:v>
                </c:pt>
                <c:pt idx="23">
                  <c:v>4.7873073648171921E-2</c:v>
                </c:pt>
                <c:pt idx="24">
                  <c:v>4.7420126106504298E-2</c:v>
                </c:pt>
                <c:pt idx="25">
                  <c:v>4.6862389682550416E-2</c:v>
                </c:pt>
                <c:pt idx="26">
                  <c:v>4.6204336859838685E-2</c:v>
                </c:pt>
                <c:pt idx="27">
                  <c:v>4.5450014712630493E-2</c:v>
                </c:pt>
                <c:pt idx="28">
                  <c:v>4.4603102903819275E-2</c:v>
                </c:pt>
                <c:pt idx="29">
                  <c:v>4.3666961678085404E-2</c:v>
                </c:pt>
                <c:pt idx="30">
                  <c:v>4.2644671903360118E-2</c:v>
                </c:pt>
                <c:pt idx="31">
                  <c:v>4.1539068730835689E-2</c:v>
                </c:pt>
                <c:pt idx="32">
                  <c:v>4.0352770087836581E-2</c:v>
                </c:pt>
                <c:pt idx="33">
                  <c:v>3.908820095223358E-2</c:v>
                </c:pt>
                <c:pt idx="34">
                  <c:v>3.774761415656782E-2</c:v>
                </c:pt>
                <c:pt idx="35">
                  <c:v>3.633310831709028E-2</c:v>
                </c:pt>
                <c:pt idx="36">
                  <c:v>3.4846643365092182E-2</c:v>
                </c:pt>
                <c:pt idx="37">
                  <c:v>3.3290054066304607E-2</c:v>
                </c:pt>
                <c:pt idx="38">
                  <c:v>3.1665061842335612E-2</c:v>
                </c:pt>
                <c:pt idx="39">
                  <c:v>2.9973285151366519E-2</c:v>
                </c:pt>
                <c:pt idx="40">
                  <c:v>2.8216248640152281E-2</c:v>
                </c:pt>
                <c:pt idx="41">
                  <c:v>2.6395391243152263E-2</c:v>
                </c:pt>
                <c:pt idx="42">
                  <c:v>2.451207337539037E-2</c:v>
                </c:pt>
                <c:pt idx="43">
                  <c:v>2.2567583341910221E-2</c:v>
                </c:pt>
                <c:pt idx="44">
                  <c:v>2.0563143067307253E-2</c:v>
                </c:pt>
                <c:pt idx="45">
                  <c:v>1.8499913232899522E-2</c:v>
                </c:pt>
                <c:pt idx="46">
                  <c:v>1.6378997895955E-2</c:v>
                </c:pt>
                <c:pt idx="47">
                  <c:v>1.4201448654487667E-2</c:v>
                </c:pt>
                <c:pt idx="48">
                  <c:v>1.1968268412042982E-2</c:v>
                </c:pt>
                <c:pt idx="49">
                  <c:v>9.680414789279855E-3</c:v>
                </c:pt>
                <c:pt idx="50">
                  <c:v>7.3388032227535331E-3</c:v>
                </c:pt>
                <c:pt idx="51">
                  <c:v>4.9443097858968528E-3</c:v>
                </c:pt>
                <c:pt idx="52">
                  <c:v>2.4977737626139147E-3</c:v>
                </c:pt>
                <c:pt idx="53">
                  <c:v>4.4819837122037135E-17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099-490C-A6BD-B952EF92AB10}"/>
            </c:ext>
          </c:extLst>
        </c:ser>
        <c:ser>
          <c:idx val="2"/>
          <c:order val="2"/>
          <c:tx>
            <c:strRef>
              <c:f>'10.4 XCCY Swap'!$E$15</c:f>
              <c:strCache>
                <c:ptCount val="1"/>
                <c:pt idx="0">
                  <c:v>FX Forward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'10.4 XCCY Swap'!$B$16:$B$69</c:f>
              <c:numCache>
                <c:formatCode>0.000</c:formatCode>
                <c:ptCount val="54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</c:v>
                </c:pt>
                <c:pt idx="4">
                  <c:v>0.3</c:v>
                </c:pt>
                <c:pt idx="5">
                  <c:v>0.4</c:v>
                </c:pt>
                <c:pt idx="6">
                  <c:v>0.60000000000000009</c:v>
                </c:pt>
                <c:pt idx="7">
                  <c:v>0.8</c:v>
                </c:pt>
                <c:pt idx="8">
                  <c:v>1</c:v>
                </c:pt>
                <c:pt idx="9">
                  <c:v>1.2</c:v>
                </c:pt>
                <c:pt idx="10">
                  <c:v>1.4</c:v>
                </c:pt>
                <c:pt idx="11">
                  <c:v>1.5999999999999999</c:v>
                </c:pt>
                <c:pt idx="12">
                  <c:v>1.7999999999999998</c:v>
                </c:pt>
                <c:pt idx="13">
                  <c:v>1.9999999999999998</c:v>
                </c:pt>
                <c:pt idx="14">
                  <c:v>2.1999999999999997</c:v>
                </c:pt>
                <c:pt idx="15">
                  <c:v>2.4</c:v>
                </c:pt>
                <c:pt idx="16">
                  <c:v>2.6</c:v>
                </c:pt>
                <c:pt idx="17">
                  <c:v>2.8000000000000003</c:v>
                </c:pt>
                <c:pt idx="18">
                  <c:v>3.0000000000000004</c:v>
                </c:pt>
                <c:pt idx="19">
                  <c:v>3.2000000000000006</c:v>
                </c:pt>
                <c:pt idx="20">
                  <c:v>3.4000000000000008</c:v>
                </c:pt>
                <c:pt idx="21">
                  <c:v>3.600000000000001</c:v>
                </c:pt>
                <c:pt idx="22">
                  <c:v>3.8000000000000012</c:v>
                </c:pt>
                <c:pt idx="23">
                  <c:v>4.0000000000000009</c:v>
                </c:pt>
                <c:pt idx="24">
                  <c:v>4.2000000000000011</c:v>
                </c:pt>
                <c:pt idx="25">
                  <c:v>4.4000000000000012</c:v>
                </c:pt>
                <c:pt idx="26">
                  <c:v>4.6000000000000014</c:v>
                </c:pt>
                <c:pt idx="27">
                  <c:v>4.8000000000000016</c:v>
                </c:pt>
                <c:pt idx="28">
                  <c:v>5.0000000000000018</c:v>
                </c:pt>
                <c:pt idx="29">
                  <c:v>5.200000000000002</c:v>
                </c:pt>
                <c:pt idx="30">
                  <c:v>5.4000000000000021</c:v>
                </c:pt>
                <c:pt idx="31">
                  <c:v>5.6000000000000023</c:v>
                </c:pt>
                <c:pt idx="32">
                  <c:v>5.8000000000000025</c:v>
                </c:pt>
                <c:pt idx="33">
                  <c:v>6.0000000000000027</c:v>
                </c:pt>
                <c:pt idx="34">
                  <c:v>6.2000000000000028</c:v>
                </c:pt>
                <c:pt idx="35">
                  <c:v>6.400000000000003</c:v>
                </c:pt>
                <c:pt idx="36">
                  <c:v>6.6000000000000032</c:v>
                </c:pt>
                <c:pt idx="37">
                  <c:v>6.8000000000000034</c:v>
                </c:pt>
                <c:pt idx="38">
                  <c:v>7.0000000000000036</c:v>
                </c:pt>
                <c:pt idx="39">
                  <c:v>7.2000000000000037</c:v>
                </c:pt>
                <c:pt idx="40">
                  <c:v>7.4000000000000039</c:v>
                </c:pt>
                <c:pt idx="41">
                  <c:v>7.6000000000000041</c:v>
                </c:pt>
                <c:pt idx="42">
                  <c:v>7.8000000000000043</c:v>
                </c:pt>
                <c:pt idx="43">
                  <c:v>8.0000000000000036</c:v>
                </c:pt>
                <c:pt idx="44">
                  <c:v>8.2000000000000028</c:v>
                </c:pt>
                <c:pt idx="45">
                  <c:v>8.4000000000000021</c:v>
                </c:pt>
                <c:pt idx="46">
                  <c:v>8.6000000000000014</c:v>
                </c:pt>
                <c:pt idx="47">
                  <c:v>8.8000000000000007</c:v>
                </c:pt>
                <c:pt idx="48">
                  <c:v>9</c:v>
                </c:pt>
                <c:pt idx="49">
                  <c:v>9.1999999999999993</c:v>
                </c:pt>
                <c:pt idx="50">
                  <c:v>9.3999999999999986</c:v>
                </c:pt>
                <c:pt idx="51">
                  <c:v>9.5999999999999979</c:v>
                </c:pt>
                <c:pt idx="52">
                  <c:v>9.7999999999999972</c:v>
                </c:pt>
                <c:pt idx="53">
                  <c:v>9.9999999999999964</c:v>
                </c:pt>
              </c:numCache>
            </c:numRef>
          </c:xVal>
          <c:yVal>
            <c:numRef>
              <c:f>'10.4 XCCY Swap'!$E$16:$E$69</c:f>
              <c:numCache>
                <c:formatCode>0.000</c:formatCode>
                <c:ptCount val="54"/>
                <c:pt idx="0">
                  <c:v>0</c:v>
                </c:pt>
                <c:pt idx="1">
                  <c:v>8.920620580763856E-3</c:v>
                </c:pt>
                <c:pt idx="2">
                  <c:v>1.2615662610100803E-2</c:v>
                </c:pt>
                <c:pt idx="3">
                  <c:v>1.7841241161527712E-2</c:v>
                </c:pt>
                <c:pt idx="4">
                  <c:v>2.1850968611841583E-2</c:v>
                </c:pt>
                <c:pt idx="5">
                  <c:v>2.5231325220201606E-2</c:v>
                </c:pt>
                <c:pt idx="6">
                  <c:v>3.0901936161855173E-2</c:v>
                </c:pt>
                <c:pt idx="7">
                  <c:v>3.5682482323055424E-2</c:v>
                </c:pt>
                <c:pt idx="8">
                  <c:v>3.9894228040143274E-2</c:v>
                </c:pt>
                <c:pt idx="9">
                  <c:v>4.3701937223683165E-2</c:v>
                </c:pt>
                <c:pt idx="10">
                  <c:v>4.7203487194131491E-2</c:v>
                </c:pt>
                <c:pt idx="11">
                  <c:v>5.0462650440403212E-2</c:v>
                </c:pt>
                <c:pt idx="12">
                  <c:v>5.3523723484583147E-2</c:v>
                </c:pt>
                <c:pt idx="13">
                  <c:v>5.6418958354775631E-2</c:v>
                </c:pt>
                <c:pt idx="14">
                  <c:v>5.9172702727031977E-2</c:v>
                </c:pt>
                <c:pt idx="15">
                  <c:v>6.1803872323710346E-2</c:v>
                </c:pt>
                <c:pt idx="16">
                  <c:v>6.4327509825806886E-2</c:v>
                </c:pt>
                <c:pt idx="17">
                  <c:v>6.6755811781245469E-2</c:v>
                </c:pt>
                <c:pt idx="18">
                  <c:v>6.9098829894267105E-2</c:v>
                </c:pt>
                <c:pt idx="19">
                  <c:v>7.1364964646110862E-2</c:v>
                </c:pt>
                <c:pt idx="20">
                  <c:v>7.3561321801096299E-2</c:v>
                </c:pt>
                <c:pt idx="21">
                  <c:v>7.5693975660604818E-2</c:v>
                </c:pt>
                <c:pt idx="22">
                  <c:v>7.7768167250437545E-2</c:v>
                </c:pt>
                <c:pt idx="23">
                  <c:v>7.9788456080286549E-2</c:v>
                </c:pt>
                <c:pt idx="24">
                  <c:v>8.1758838114662613E-2</c:v>
                </c:pt>
                <c:pt idx="25">
                  <c:v>8.3682838718840066E-2</c:v>
                </c:pt>
                <c:pt idx="26">
                  <c:v>8.5563586777479078E-2</c:v>
                </c:pt>
                <c:pt idx="27">
                  <c:v>8.7403874447366345E-2</c:v>
                </c:pt>
                <c:pt idx="28">
                  <c:v>8.9206205807638592E-2</c:v>
                </c:pt>
                <c:pt idx="29">
                  <c:v>9.0972836829344636E-2</c:v>
                </c:pt>
                <c:pt idx="30">
                  <c:v>9.2705808485565533E-2</c:v>
                </c:pt>
                <c:pt idx="31">
                  <c:v>9.4406974388262996E-2</c:v>
                </c:pt>
                <c:pt idx="32">
                  <c:v>9.6078024018658587E-2</c:v>
                </c:pt>
                <c:pt idx="33">
                  <c:v>9.7720502380584023E-2</c:v>
                </c:pt>
                <c:pt idx="34">
                  <c:v>9.9335826727810148E-2</c:v>
                </c:pt>
                <c:pt idx="35">
                  <c:v>0.10092530088080644</c:v>
                </c:pt>
                <c:pt idx="36">
                  <c:v>0.10249012754438888</c:v>
                </c:pt>
                <c:pt idx="37">
                  <c:v>0.10403141895720201</c:v>
                </c:pt>
                <c:pt idx="38">
                  <c:v>0.10555020614111885</c:v>
                </c:pt>
                <c:pt idx="39">
                  <c:v>0.10704744696916631</c:v>
                </c:pt>
                <c:pt idx="40">
                  <c:v>0.10852403323135509</c:v>
                </c:pt>
                <c:pt idx="41">
                  <c:v>0.10998079684646796</c:v>
                </c:pt>
                <c:pt idx="42">
                  <c:v>0.11141851534268372</c:v>
                </c:pt>
                <c:pt idx="43">
                  <c:v>0.1128379167095513</c:v>
                </c:pt>
                <c:pt idx="44">
                  <c:v>0.11423968370726272</c:v>
                </c:pt>
                <c:pt idx="45">
                  <c:v>0.11562445770562219</c:v>
                </c:pt>
                <c:pt idx="46">
                  <c:v>0.11699284211396441</c:v>
                </c:pt>
                <c:pt idx="47">
                  <c:v>0.11834540545406398</c:v>
                </c:pt>
                <c:pt idx="48">
                  <c:v>0.11968268412042982</c:v>
                </c:pt>
                <c:pt idx="49">
                  <c:v>0.12100518486599809</c:v>
                </c:pt>
                <c:pt idx="50">
                  <c:v>0.12231338704589192</c:v>
                </c:pt>
                <c:pt idx="51">
                  <c:v>0.12360774464742068</c:v>
                </c:pt>
                <c:pt idx="52">
                  <c:v>0.12488868813069398</c:v>
                </c:pt>
                <c:pt idx="53">
                  <c:v>0.126156626101008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099-490C-A6BD-B952EF92AB10}"/>
            </c:ext>
          </c:extLst>
        </c:ser>
        <c:ser>
          <c:idx val="3"/>
          <c:order val="3"/>
          <c:tx>
            <c:strRef>
              <c:f>'10.4 XCCY Swap'!$F$15</c:f>
              <c:strCache>
                <c:ptCount val="1"/>
                <c:pt idx="0">
                  <c:v>XCCY Swap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'10.4 XCCY Swap'!$B$16:$B$69</c:f>
              <c:numCache>
                <c:formatCode>0.000</c:formatCode>
                <c:ptCount val="54"/>
                <c:pt idx="0">
                  <c:v>0</c:v>
                </c:pt>
                <c:pt idx="1">
                  <c:v>0.05</c:v>
                </c:pt>
                <c:pt idx="2">
                  <c:v>0.1</c:v>
                </c:pt>
                <c:pt idx="3">
                  <c:v>0.2</c:v>
                </c:pt>
                <c:pt idx="4">
                  <c:v>0.3</c:v>
                </c:pt>
                <c:pt idx="5">
                  <c:v>0.4</c:v>
                </c:pt>
                <c:pt idx="6">
                  <c:v>0.60000000000000009</c:v>
                </c:pt>
                <c:pt idx="7">
                  <c:v>0.8</c:v>
                </c:pt>
                <c:pt idx="8">
                  <c:v>1</c:v>
                </c:pt>
                <c:pt idx="9">
                  <c:v>1.2</c:v>
                </c:pt>
                <c:pt idx="10">
                  <c:v>1.4</c:v>
                </c:pt>
                <c:pt idx="11">
                  <c:v>1.5999999999999999</c:v>
                </c:pt>
                <c:pt idx="12">
                  <c:v>1.7999999999999998</c:v>
                </c:pt>
                <c:pt idx="13">
                  <c:v>1.9999999999999998</c:v>
                </c:pt>
                <c:pt idx="14">
                  <c:v>2.1999999999999997</c:v>
                </c:pt>
                <c:pt idx="15">
                  <c:v>2.4</c:v>
                </c:pt>
                <c:pt idx="16">
                  <c:v>2.6</c:v>
                </c:pt>
                <c:pt idx="17">
                  <c:v>2.8000000000000003</c:v>
                </c:pt>
                <c:pt idx="18">
                  <c:v>3.0000000000000004</c:v>
                </c:pt>
                <c:pt idx="19">
                  <c:v>3.2000000000000006</c:v>
                </c:pt>
                <c:pt idx="20">
                  <c:v>3.4000000000000008</c:v>
                </c:pt>
                <c:pt idx="21">
                  <c:v>3.600000000000001</c:v>
                </c:pt>
                <c:pt idx="22">
                  <c:v>3.8000000000000012</c:v>
                </c:pt>
                <c:pt idx="23">
                  <c:v>4.0000000000000009</c:v>
                </c:pt>
                <c:pt idx="24">
                  <c:v>4.2000000000000011</c:v>
                </c:pt>
                <c:pt idx="25">
                  <c:v>4.4000000000000012</c:v>
                </c:pt>
                <c:pt idx="26">
                  <c:v>4.6000000000000014</c:v>
                </c:pt>
                <c:pt idx="27">
                  <c:v>4.8000000000000016</c:v>
                </c:pt>
                <c:pt idx="28">
                  <c:v>5.0000000000000018</c:v>
                </c:pt>
                <c:pt idx="29">
                  <c:v>5.200000000000002</c:v>
                </c:pt>
                <c:pt idx="30">
                  <c:v>5.4000000000000021</c:v>
                </c:pt>
                <c:pt idx="31">
                  <c:v>5.6000000000000023</c:v>
                </c:pt>
                <c:pt idx="32">
                  <c:v>5.8000000000000025</c:v>
                </c:pt>
                <c:pt idx="33">
                  <c:v>6.0000000000000027</c:v>
                </c:pt>
                <c:pt idx="34">
                  <c:v>6.2000000000000028</c:v>
                </c:pt>
                <c:pt idx="35">
                  <c:v>6.400000000000003</c:v>
                </c:pt>
                <c:pt idx="36">
                  <c:v>6.6000000000000032</c:v>
                </c:pt>
                <c:pt idx="37">
                  <c:v>6.8000000000000034</c:v>
                </c:pt>
                <c:pt idx="38">
                  <c:v>7.0000000000000036</c:v>
                </c:pt>
                <c:pt idx="39">
                  <c:v>7.2000000000000037</c:v>
                </c:pt>
                <c:pt idx="40">
                  <c:v>7.4000000000000039</c:v>
                </c:pt>
                <c:pt idx="41">
                  <c:v>7.6000000000000041</c:v>
                </c:pt>
                <c:pt idx="42">
                  <c:v>7.8000000000000043</c:v>
                </c:pt>
                <c:pt idx="43">
                  <c:v>8.0000000000000036</c:v>
                </c:pt>
                <c:pt idx="44">
                  <c:v>8.2000000000000028</c:v>
                </c:pt>
                <c:pt idx="45">
                  <c:v>8.4000000000000021</c:v>
                </c:pt>
                <c:pt idx="46">
                  <c:v>8.6000000000000014</c:v>
                </c:pt>
                <c:pt idx="47">
                  <c:v>8.8000000000000007</c:v>
                </c:pt>
                <c:pt idx="48">
                  <c:v>9</c:v>
                </c:pt>
                <c:pt idx="49">
                  <c:v>9.1999999999999993</c:v>
                </c:pt>
                <c:pt idx="50">
                  <c:v>9.3999999999999986</c:v>
                </c:pt>
                <c:pt idx="51">
                  <c:v>9.5999999999999979</c:v>
                </c:pt>
                <c:pt idx="52">
                  <c:v>9.7999999999999972</c:v>
                </c:pt>
                <c:pt idx="53">
                  <c:v>9.9999999999999964</c:v>
                </c:pt>
              </c:numCache>
            </c:numRef>
          </c:xVal>
          <c:yVal>
            <c:numRef>
              <c:f>'10.4 XCCY Swap'!$F$16:$F$69</c:f>
              <c:numCache>
                <c:formatCode>0.000</c:formatCode>
                <c:ptCount val="54"/>
                <c:pt idx="0">
                  <c:v>0</c:v>
                </c:pt>
                <c:pt idx="1">
                  <c:v>1.8860441972614474E-2</c:v>
                </c:pt>
                <c:pt idx="2">
                  <c:v>2.6583599005096895E-2</c:v>
                </c:pt>
                <c:pt idx="3">
                  <c:v>3.7343213725805485E-2</c:v>
                </c:pt>
                <c:pt idx="4">
                  <c:v>4.5428211040462886E-2</c:v>
                </c:pt>
                <c:pt idx="5">
                  <c:v>5.2101311973647729E-2</c:v>
                </c:pt>
                <c:pt idx="6">
                  <c:v>6.2944444975944022E-2</c:v>
                </c:pt>
                <c:pt idx="7">
                  <c:v>7.1685387650141902E-2</c:v>
                </c:pt>
                <c:pt idx="8">
                  <c:v>7.9036899713721645E-2</c:v>
                </c:pt>
                <c:pt idx="9">
                  <c:v>8.5369919491962001E-2</c:v>
                </c:pt>
                <c:pt idx="10">
                  <c:v>9.0908083111403012E-2</c:v>
                </c:pt>
                <c:pt idx="11">
                  <c:v>9.5799324832960345E-2</c:v>
                </c:pt>
                <c:pt idx="12">
                  <c:v>0.10014802146705176</c:v>
                </c:pt>
                <c:pt idx="13">
                  <c:v>0.104031418957202</c:v>
                </c:pt>
                <c:pt idx="14">
                  <c:v>0.10750883813538135</c:v>
                </c:pt>
                <c:pt idx="15">
                  <c:v>0.11062720508082262</c:v>
                </c:pt>
                <c:pt idx="16">
                  <c:v>0.11342455937710434</c:v>
                </c:pt>
                <c:pt idx="17">
                  <c:v>0.11593237957630466</c:v>
                </c:pt>
                <c:pt idx="18">
                  <c:v>0.11817718162282354</c:v>
                </c:pt>
                <c:pt idx="19">
                  <c:v>0.12018165165896036</c:v>
                </c:pt>
                <c:pt idx="20">
                  <c:v>0.12196547015867687</c:v>
                </c:pt>
                <c:pt idx="21">
                  <c:v>0.12354592531639857</c:v>
                </c:pt>
                <c:pt idx="22">
                  <c:v>0.12493837884560098</c:v>
                </c:pt>
                <c:pt idx="23">
                  <c:v>0.126156626101008</c:v>
                </c:pt>
                <c:pt idx="24">
                  <c:v>0.1272131790478884</c:v>
                </c:pt>
                <c:pt idx="25">
                  <c:v>0.12811949192346073</c:v>
                </c:pt>
                <c:pt idx="26">
                  <c:v>0.12888614367058038</c:v>
                </c:pt>
                <c:pt idx="27">
                  <c:v>0.12952298730893491</c:v>
                </c:pt>
                <c:pt idx="28">
                  <c:v>0.13003927369650248</c:v>
                </c:pt>
                <c:pt idx="29">
                  <c:v>0.13044375521979087</c:v>
                </c:pt>
                <c:pt idx="30">
                  <c:v>0.13074477357710371</c:v>
                </c:pt>
                <c:pt idx="31">
                  <c:v>0.13095033481626983</c:v>
                </c:pt>
                <c:pt idx="32">
                  <c:v>0.13106817404485727</c:v>
                </c:pt>
                <c:pt idx="33">
                  <c:v>0.13110581167104951</c:v>
                </c:pt>
                <c:pt idx="34">
                  <c:v>0.13107060260495246</c:v>
                </c:pt>
                <c:pt idx="35">
                  <c:v>0.13096977951677294</c:v>
                </c:pt>
                <c:pt idx="36">
                  <c:v>0.13081049098440858</c:v>
                </c:pt>
                <c:pt idx="37">
                  <c:v>0.13059983515024912</c:v>
                </c:pt>
                <c:pt idx="38">
                  <c:v>0.13034488933233951</c:v>
                </c:pt>
                <c:pt idx="39">
                  <c:v>0.1300527358891842</c:v>
                </c:pt>
                <c:pt idx="40">
                  <c:v>0.12973048451383959</c:v>
                </c:pt>
                <c:pt idx="41">
                  <c:v>0.1293852910271408</c:v>
                </c:pt>
                <c:pt idx="42">
                  <c:v>0.12902437264922495</c:v>
                </c:pt>
                <c:pt idx="43">
                  <c:v>0.12865501965161374</c:v>
                </c:pt>
                <c:pt idx="44">
                  <c:v>0.12828460322886828</c:v>
                </c:pt>
                <c:pt idx="45">
                  <c:v>0.12792057938008378</c:v>
                </c:pt>
                <c:pt idx="46">
                  <c:v>0.1275704885579681</c:v>
                </c:pt>
                <c:pt idx="47">
                  <c:v>0.12724195082932488</c:v>
                </c:pt>
                <c:pt idx="48">
                  <c:v>0.12694265629824519</c:v>
                </c:pt>
                <c:pt idx="49">
                  <c:v>0.1266803505751464</c:v>
                </c:pt>
                <c:pt idx="50">
                  <c:v>0.12646281513366764</c:v>
                </c:pt>
                <c:pt idx="51">
                  <c:v>0.12629784248530188</c:v>
                </c:pt>
                <c:pt idx="52">
                  <c:v>0.12619320621922903</c:v>
                </c:pt>
                <c:pt idx="53">
                  <c:v>0.126156626101008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099-490C-A6BD-B952EF92AB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71006768"/>
        <c:axId val="871007096"/>
      </c:scatterChart>
      <c:valAx>
        <c:axId val="871006768"/>
        <c:scaling>
          <c:orientation val="minMax"/>
          <c:max val="1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1007096"/>
        <c:crosses val="autoZero"/>
        <c:crossBetween val="midCat"/>
      </c:valAx>
      <c:valAx>
        <c:axId val="87100709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EPE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1006768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'10.6 Marginal Exposure'!$C$34</c:f>
              <c:strCache>
                <c:ptCount val="1"/>
                <c:pt idx="0">
                  <c:v>Trade 1</c:v>
                </c:pt>
              </c:strCache>
            </c:strRef>
          </c:tx>
          <c:spPr>
            <a:ln w="19050"/>
          </c:spPr>
          <c:marker>
            <c:symbol val="none"/>
          </c:marker>
          <c:xVal>
            <c:numRef>
              <c:f>'10.6 Marginal Exposure'!$B$35:$B$95</c:f>
              <c:numCache>
                <c:formatCode>General</c:formatCode>
                <c:ptCount val="61"/>
                <c:pt idx="0">
                  <c:v>-100</c:v>
                </c:pt>
                <c:pt idx="1">
                  <c:v>-95</c:v>
                </c:pt>
                <c:pt idx="2">
                  <c:v>-90</c:v>
                </c:pt>
                <c:pt idx="3">
                  <c:v>-85</c:v>
                </c:pt>
                <c:pt idx="4">
                  <c:v>-80</c:v>
                </c:pt>
                <c:pt idx="5">
                  <c:v>-75</c:v>
                </c:pt>
                <c:pt idx="6">
                  <c:v>-70</c:v>
                </c:pt>
                <c:pt idx="7">
                  <c:v>-65</c:v>
                </c:pt>
                <c:pt idx="8">
                  <c:v>-60</c:v>
                </c:pt>
                <c:pt idx="9">
                  <c:v>-55</c:v>
                </c:pt>
                <c:pt idx="10">
                  <c:v>-50</c:v>
                </c:pt>
                <c:pt idx="11">
                  <c:v>-45</c:v>
                </c:pt>
                <c:pt idx="12">
                  <c:v>-40</c:v>
                </c:pt>
                <c:pt idx="13">
                  <c:v>-35</c:v>
                </c:pt>
                <c:pt idx="14">
                  <c:v>-30</c:v>
                </c:pt>
                <c:pt idx="15">
                  <c:v>-25</c:v>
                </c:pt>
                <c:pt idx="16">
                  <c:v>-20</c:v>
                </c:pt>
                <c:pt idx="17">
                  <c:v>-15</c:v>
                </c:pt>
                <c:pt idx="18">
                  <c:v>-10</c:v>
                </c:pt>
                <c:pt idx="19">
                  <c:v>-5</c:v>
                </c:pt>
                <c:pt idx="20">
                  <c:v>0</c:v>
                </c:pt>
                <c:pt idx="21">
                  <c:v>5</c:v>
                </c:pt>
                <c:pt idx="22">
                  <c:v>10</c:v>
                </c:pt>
                <c:pt idx="23">
                  <c:v>15</c:v>
                </c:pt>
                <c:pt idx="24">
                  <c:v>20</c:v>
                </c:pt>
                <c:pt idx="25">
                  <c:v>25</c:v>
                </c:pt>
                <c:pt idx="26">
                  <c:v>30</c:v>
                </c:pt>
                <c:pt idx="27">
                  <c:v>35</c:v>
                </c:pt>
                <c:pt idx="28">
                  <c:v>40</c:v>
                </c:pt>
                <c:pt idx="29">
                  <c:v>45</c:v>
                </c:pt>
                <c:pt idx="30">
                  <c:v>50</c:v>
                </c:pt>
                <c:pt idx="31">
                  <c:v>55</c:v>
                </c:pt>
                <c:pt idx="32">
                  <c:v>60</c:v>
                </c:pt>
                <c:pt idx="33">
                  <c:v>65</c:v>
                </c:pt>
                <c:pt idx="34">
                  <c:v>70</c:v>
                </c:pt>
                <c:pt idx="35">
                  <c:v>75</c:v>
                </c:pt>
                <c:pt idx="36">
                  <c:v>80</c:v>
                </c:pt>
                <c:pt idx="37">
                  <c:v>85</c:v>
                </c:pt>
                <c:pt idx="38">
                  <c:v>90</c:v>
                </c:pt>
                <c:pt idx="39">
                  <c:v>95</c:v>
                </c:pt>
                <c:pt idx="40">
                  <c:v>100</c:v>
                </c:pt>
                <c:pt idx="41">
                  <c:v>105</c:v>
                </c:pt>
                <c:pt idx="42">
                  <c:v>110</c:v>
                </c:pt>
                <c:pt idx="43">
                  <c:v>115</c:v>
                </c:pt>
                <c:pt idx="44">
                  <c:v>120</c:v>
                </c:pt>
                <c:pt idx="45">
                  <c:v>125</c:v>
                </c:pt>
                <c:pt idx="46">
                  <c:v>130</c:v>
                </c:pt>
                <c:pt idx="47">
                  <c:v>135</c:v>
                </c:pt>
                <c:pt idx="48">
                  <c:v>140</c:v>
                </c:pt>
                <c:pt idx="49">
                  <c:v>145</c:v>
                </c:pt>
                <c:pt idx="50">
                  <c:v>150</c:v>
                </c:pt>
                <c:pt idx="51">
                  <c:v>155</c:v>
                </c:pt>
                <c:pt idx="52">
                  <c:v>160</c:v>
                </c:pt>
                <c:pt idx="53">
                  <c:v>165</c:v>
                </c:pt>
                <c:pt idx="54">
                  <c:v>170</c:v>
                </c:pt>
                <c:pt idx="55">
                  <c:v>175</c:v>
                </c:pt>
                <c:pt idx="56">
                  <c:v>180</c:v>
                </c:pt>
                <c:pt idx="57">
                  <c:v>185</c:v>
                </c:pt>
                <c:pt idx="58">
                  <c:v>190</c:v>
                </c:pt>
                <c:pt idx="59">
                  <c:v>195</c:v>
                </c:pt>
                <c:pt idx="60">
                  <c:v>200</c:v>
                </c:pt>
              </c:numCache>
            </c:numRef>
          </c:xVal>
          <c:yVal>
            <c:numRef>
              <c:f>'10.6 Marginal Exposure'!$C$35:$C$95</c:f>
              <c:numCache>
                <c:formatCode>0.00000</c:formatCode>
                <c:ptCount val="61"/>
                <c:pt idx="0" formatCode="0.00">
                  <c:v>1.5931111327009667E-26</c:v>
                </c:pt>
                <c:pt idx="1">
                  <c:v>2.8165665442762424E-24</c:v>
                </c:pt>
                <c:pt idx="2">
                  <c:v>3.8781119317469604E-22</c:v>
                </c:pt>
                <c:pt idx="3">
                  <c:v>4.1585989791151602E-20</c:v>
                </c:pt>
                <c:pt idx="4">
                  <c:v>3.4729627485662083E-18</c:v>
                </c:pt>
                <c:pt idx="5">
                  <c:v>2.2588094031543033E-16</c:v>
                </c:pt>
                <c:pt idx="6">
                  <c:v>1.1441564901801369E-14</c:v>
                </c:pt>
                <c:pt idx="7">
                  <c:v>4.513543677205518E-13</c:v>
                </c:pt>
                <c:pt idx="8">
                  <c:v>1.3866799941653171E-11</c:v>
                </c:pt>
                <c:pt idx="9">
                  <c:v>3.3178842435473048E-10</c:v>
                </c:pt>
                <c:pt idx="10">
                  <c:v>6.1826205001658568E-9</c:v>
                </c:pt>
                <c:pt idx="11">
                  <c:v>8.9724351623833366E-8</c:v>
                </c:pt>
                <c:pt idx="12">
                  <c:v>1.014085206548676E-6</c:v>
                </c:pt>
                <c:pt idx="13">
                  <c:v>8.9261657177132918E-6</c:v>
                </c:pt>
                <c:pt idx="14">
                  <c:v>6.1190193011377187E-5</c:v>
                </c:pt>
                <c:pt idx="15">
                  <c:v>3.2668190561999186E-4</c:v>
                </c:pt>
                <c:pt idx="16">
                  <c:v>1.3582969233685612E-3</c:v>
                </c:pt>
                <c:pt idx="17">
                  <c:v>4.3983595980427196E-3</c:v>
                </c:pt>
                <c:pt idx="18">
                  <c:v>1.1092083467945555E-2</c:v>
                </c:pt>
                <c:pt idx="19">
                  <c:v>2.1785217703255054E-2</c:v>
                </c:pt>
                <c:pt idx="20">
                  <c:v>3.3322460289179963E-2</c:v>
                </c:pt>
                <c:pt idx="21">
                  <c:v>3.9695254747701178E-2</c:v>
                </c:pt>
                <c:pt idx="22">
                  <c:v>3.6827014030332332E-2</c:v>
                </c:pt>
                <c:pt idx="23">
                  <c:v>2.6608524989875482E-2</c:v>
                </c:pt>
                <c:pt idx="24">
                  <c:v>1.4972746563574486E-2</c:v>
                </c:pt>
                <c:pt idx="25">
                  <c:v>6.5615814774676604E-3</c:v>
                </c:pt>
                <c:pt idx="26">
                  <c:v>2.2394530294842902E-3</c:v>
                </c:pt>
                <c:pt idx="27">
                  <c:v>5.9525324197758534E-4</c:v>
                </c:pt>
                <c:pt idx="28">
                  <c:v>1.2322191684730198E-4</c:v>
                </c:pt>
                <c:pt idx="29">
                  <c:v>1.9865547139277272E-5</c:v>
                </c:pt>
                <c:pt idx="30">
                  <c:v>2.4942471290053532E-6</c:v>
                </c:pt>
                <c:pt idx="31">
                  <c:v>2.438960745893352E-7</c:v>
                </c:pt>
                <c:pt idx="32">
                  <c:v>1.8573618445552898E-8</c:v>
                </c:pt>
                <c:pt idx="33">
                  <c:v>1.1015763624682308E-9</c:v>
                </c:pt>
                <c:pt idx="34">
                  <c:v>5.0881402816450391E-11</c:v>
                </c:pt>
                <c:pt idx="35">
                  <c:v>1.8303322170155717E-12</c:v>
                </c:pt>
                <c:pt idx="36">
                  <c:v>5.1277536367966629E-14</c:v>
                </c:pt>
                <c:pt idx="37">
                  <c:v>1.1187956214351817E-15</c:v>
                </c:pt>
                <c:pt idx="38">
                  <c:v>1.9010815379079636E-17</c:v>
                </c:pt>
                <c:pt idx="39">
                  <c:v>2.5158057769514047E-19</c:v>
                </c:pt>
                <c:pt idx="40">
                  <c:v>2.5928647011003709E-21</c:v>
                </c:pt>
                <c:pt idx="41">
                  <c:v>2.0811768202028245E-23</c:v>
                </c:pt>
                <c:pt idx="42">
                  <c:v>1.3009616199239129E-25</c:v>
                </c:pt>
                <c:pt idx="43">
                  <c:v>6.3335378218306056E-28</c:v>
                </c:pt>
                <c:pt idx="44">
                  <c:v>2.4013454000085361E-30</c:v>
                </c:pt>
                <c:pt idx="45">
                  <c:v>7.0907026684280599E-33</c:v>
                </c:pt>
                <c:pt idx="46">
                  <c:v>1.6306107348396452E-35</c:v>
                </c:pt>
                <c:pt idx="47">
                  <c:v>2.9203687938681377E-38</c:v>
                </c:pt>
                <c:pt idx="48">
                  <c:v>4.0733476775278454E-41</c:v>
                </c:pt>
                <c:pt idx="49">
                  <c:v>4.4247795833161674E-44</c:v>
                </c:pt>
                <c:pt idx="50">
                  <c:v>3.743330579885009E-47</c:v>
                </c:pt>
                <c:pt idx="51">
                  <c:v>2.466329525880551E-50</c:v>
                </c:pt>
                <c:pt idx="52">
                  <c:v>1.2655240466047518E-53</c:v>
                </c:pt>
                <c:pt idx="53">
                  <c:v>5.057269304375426E-57</c:v>
                </c:pt>
                <c:pt idx="54">
                  <c:v>1.573939879776645E-60</c:v>
                </c:pt>
                <c:pt idx="55">
                  <c:v>3.814930036150269E-64</c:v>
                </c:pt>
                <c:pt idx="56">
                  <c:v>7.2013081527191162E-68</c:v>
                </c:pt>
                <c:pt idx="57">
                  <c:v>1.0586748413641459E-71</c:v>
                </c:pt>
                <c:pt idx="58">
                  <c:v>1.212104794907882E-75</c:v>
                </c:pt>
                <c:pt idx="59">
                  <c:v>1.0807969874547754E-79</c:v>
                </c:pt>
                <c:pt idx="60">
                  <c:v>7.505410686455268E-84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2C7-4EC2-A522-42A365314CDF}"/>
            </c:ext>
          </c:extLst>
        </c:ser>
        <c:ser>
          <c:idx val="1"/>
          <c:order val="1"/>
          <c:tx>
            <c:strRef>
              <c:f>'10.6 Marginal Exposure'!$D$34</c:f>
              <c:strCache>
                <c:ptCount val="1"/>
                <c:pt idx="0">
                  <c:v>Trade 2</c:v>
                </c:pt>
              </c:strCache>
            </c:strRef>
          </c:tx>
          <c:spPr>
            <a:ln w="19050"/>
          </c:spPr>
          <c:marker>
            <c:symbol val="none"/>
          </c:marker>
          <c:xVal>
            <c:numRef>
              <c:f>'10.6 Marginal Exposure'!$B$35:$B$95</c:f>
              <c:numCache>
                <c:formatCode>General</c:formatCode>
                <c:ptCount val="61"/>
                <c:pt idx="0">
                  <c:v>-100</c:v>
                </c:pt>
                <c:pt idx="1">
                  <c:v>-95</c:v>
                </c:pt>
                <c:pt idx="2">
                  <c:v>-90</c:v>
                </c:pt>
                <c:pt idx="3">
                  <c:v>-85</c:v>
                </c:pt>
                <c:pt idx="4">
                  <c:v>-80</c:v>
                </c:pt>
                <c:pt idx="5">
                  <c:v>-75</c:v>
                </c:pt>
                <c:pt idx="6">
                  <c:v>-70</c:v>
                </c:pt>
                <c:pt idx="7">
                  <c:v>-65</c:v>
                </c:pt>
                <c:pt idx="8">
                  <c:v>-60</c:v>
                </c:pt>
                <c:pt idx="9">
                  <c:v>-55</c:v>
                </c:pt>
                <c:pt idx="10">
                  <c:v>-50</c:v>
                </c:pt>
                <c:pt idx="11">
                  <c:v>-45</c:v>
                </c:pt>
                <c:pt idx="12">
                  <c:v>-40</c:v>
                </c:pt>
                <c:pt idx="13">
                  <c:v>-35</c:v>
                </c:pt>
                <c:pt idx="14">
                  <c:v>-30</c:v>
                </c:pt>
                <c:pt idx="15">
                  <c:v>-25</c:v>
                </c:pt>
                <c:pt idx="16">
                  <c:v>-20</c:v>
                </c:pt>
                <c:pt idx="17">
                  <c:v>-15</c:v>
                </c:pt>
                <c:pt idx="18">
                  <c:v>-10</c:v>
                </c:pt>
                <c:pt idx="19">
                  <c:v>-5</c:v>
                </c:pt>
                <c:pt idx="20">
                  <c:v>0</c:v>
                </c:pt>
                <c:pt idx="21">
                  <c:v>5</c:v>
                </c:pt>
                <c:pt idx="22">
                  <c:v>10</c:v>
                </c:pt>
                <c:pt idx="23">
                  <c:v>15</c:v>
                </c:pt>
                <c:pt idx="24">
                  <c:v>20</c:v>
                </c:pt>
                <c:pt idx="25">
                  <c:v>25</c:v>
                </c:pt>
                <c:pt idx="26">
                  <c:v>30</c:v>
                </c:pt>
                <c:pt idx="27">
                  <c:v>35</c:v>
                </c:pt>
                <c:pt idx="28">
                  <c:v>40</c:v>
                </c:pt>
                <c:pt idx="29">
                  <c:v>45</c:v>
                </c:pt>
                <c:pt idx="30">
                  <c:v>50</c:v>
                </c:pt>
                <c:pt idx="31">
                  <c:v>55</c:v>
                </c:pt>
                <c:pt idx="32">
                  <c:v>60</c:v>
                </c:pt>
                <c:pt idx="33">
                  <c:v>65</c:v>
                </c:pt>
                <c:pt idx="34">
                  <c:v>70</c:v>
                </c:pt>
                <c:pt idx="35">
                  <c:v>75</c:v>
                </c:pt>
                <c:pt idx="36">
                  <c:v>80</c:v>
                </c:pt>
                <c:pt idx="37">
                  <c:v>85</c:v>
                </c:pt>
                <c:pt idx="38">
                  <c:v>90</c:v>
                </c:pt>
                <c:pt idx="39">
                  <c:v>95</c:v>
                </c:pt>
                <c:pt idx="40">
                  <c:v>100</c:v>
                </c:pt>
                <c:pt idx="41">
                  <c:v>105</c:v>
                </c:pt>
                <c:pt idx="42">
                  <c:v>110</c:v>
                </c:pt>
                <c:pt idx="43">
                  <c:v>115</c:v>
                </c:pt>
                <c:pt idx="44">
                  <c:v>120</c:v>
                </c:pt>
                <c:pt idx="45">
                  <c:v>125</c:v>
                </c:pt>
                <c:pt idx="46">
                  <c:v>130</c:v>
                </c:pt>
                <c:pt idx="47">
                  <c:v>135</c:v>
                </c:pt>
                <c:pt idx="48">
                  <c:v>140</c:v>
                </c:pt>
                <c:pt idx="49">
                  <c:v>145</c:v>
                </c:pt>
                <c:pt idx="50">
                  <c:v>150</c:v>
                </c:pt>
                <c:pt idx="51">
                  <c:v>155</c:v>
                </c:pt>
                <c:pt idx="52">
                  <c:v>160</c:v>
                </c:pt>
                <c:pt idx="53">
                  <c:v>165</c:v>
                </c:pt>
                <c:pt idx="54">
                  <c:v>170</c:v>
                </c:pt>
                <c:pt idx="55">
                  <c:v>175</c:v>
                </c:pt>
                <c:pt idx="56">
                  <c:v>180</c:v>
                </c:pt>
                <c:pt idx="57">
                  <c:v>185</c:v>
                </c:pt>
                <c:pt idx="58">
                  <c:v>190</c:v>
                </c:pt>
                <c:pt idx="59">
                  <c:v>195</c:v>
                </c:pt>
                <c:pt idx="60">
                  <c:v>200</c:v>
                </c:pt>
              </c:numCache>
            </c:numRef>
          </c:xVal>
          <c:yVal>
            <c:numRef>
              <c:f>'10.6 Marginal Exposure'!$D$35:$D$95</c:f>
              <c:numCache>
                <c:formatCode>0.00000</c:formatCode>
                <c:ptCount val="61"/>
                <c:pt idx="0">
                  <c:v>1.4772828039793357E-4</c:v>
                </c:pt>
                <c:pt idx="1">
                  <c:v>2.402033254869741E-4</c:v>
                </c:pt>
                <c:pt idx="2">
                  <c:v>3.7986620079324805E-4</c:v>
                </c:pt>
                <c:pt idx="3">
                  <c:v>5.8427668311895138E-4</c:v>
                </c:pt>
                <c:pt idx="4">
                  <c:v>8.7406296979031619E-4</c:v>
                </c:pt>
                <c:pt idx="5">
                  <c:v>1.2717541168805993E-3</c:v>
                </c:pt>
                <c:pt idx="6">
                  <c:v>1.7996988837729354E-3</c:v>
                </c:pt>
                <c:pt idx="7">
                  <c:v>2.4770387852997701E-3</c:v>
                </c:pt>
                <c:pt idx="8">
                  <c:v>3.3159046264249559E-3</c:v>
                </c:pt>
                <c:pt idx="9">
                  <c:v>4.3172531888630581E-3</c:v>
                </c:pt>
                <c:pt idx="10">
                  <c:v>5.4670024891997878E-3</c:v>
                </c:pt>
                <c:pt idx="11">
                  <c:v>6.7332895184686291E-3</c:v>
                </c:pt>
                <c:pt idx="12">
                  <c:v>8.0656908173047798E-3</c:v>
                </c:pt>
                <c:pt idx="13">
                  <c:v>9.3970625136767516E-3</c:v>
                </c:pt>
                <c:pt idx="14">
                  <c:v>1.0648266850745075E-2</c:v>
                </c:pt>
                <c:pt idx="15">
                  <c:v>1.1735510892143317E-2</c:v>
                </c:pt>
                <c:pt idx="16">
                  <c:v>1.2579440923099771E-2</c:v>
                </c:pt>
                <c:pt idx="17">
                  <c:v>1.3114657203397996E-2</c:v>
                </c:pt>
                <c:pt idx="18">
                  <c:v>1.329807601338109E-2</c:v>
                </c:pt>
                <c:pt idx="19">
                  <c:v>1.3114657203397996E-2</c:v>
                </c:pt>
                <c:pt idx="20">
                  <c:v>1.2579440923099771E-2</c:v>
                </c:pt>
                <c:pt idx="21">
                  <c:v>1.1735510892143317E-2</c:v>
                </c:pt>
                <c:pt idx="22">
                  <c:v>1.0648266850745075E-2</c:v>
                </c:pt>
                <c:pt idx="23">
                  <c:v>9.3970625136767516E-3</c:v>
                </c:pt>
                <c:pt idx="24">
                  <c:v>8.0656908173047798E-3</c:v>
                </c:pt>
                <c:pt idx="25">
                  <c:v>6.7332895184686291E-3</c:v>
                </c:pt>
                <c:pt idx="26">
                  <c:v>5.4670024891997878E-3</c:v>
                </c:pt>
                <c:pt idx="27">
                  <c:v>4.3172531888630581E-3</c:v>
                </c:pt>
                <c:pt idx="28">
                  <c:v>3.3159046264249559E-3</c:v>
                </c:pt>
                <c:pt idx="29">
                  <c:v>2.4770387852997701E-3</c:v>
                </c:pt>
                <c:pt idx="30">
                  <c:v>1.7996988837729354E-3</c:v>
                </c:pt>
                <c:pt idx="31">
                  <c:v>1.2717541168805993E-3</c:v>
                </c:pt>
                <c:pt idx="32">
                  <c:v>8.7406296979031619E-4</c:v>
                </c:pt>
                <c:pt idx="33">
                  <c:v>5.8427668311895138E-4</c:v>
                </c:pt>
                <c:pt idx="34">
                  <c:v>3.7986620079324805E-4</c:v>
                </c:pt>
                <c:pt idx="35">
                  <c:v>2.402033254869741E-4</c:v>
                </c:pt>
                <c:pt idx="36">
                  <c:v>1.4772828039793357E-4</c:v>
                </c:pt>
                <c:pt idx="37">
                  <c:v>8.8365865147670177E-5</c:v>
                </c:pt>
                <c:pt idx="38">
                  <c:v>5.140929987637017E-5</c:v>
                </c:pt>
                <c:pt idx="39">
                  <c:v>2.9089423168192001E-5</c:v>
                </c:pt>
                <c:pt idx="40">
                  <c:v>1.6009021720694022E-5</c:v>
                </c:pt>
                <c:pt idx="41">
                  <c:v>8.5690118354102107E-6</c:v>
                </c:pt>
                <c:pt idx="42">
                  <c:v>4.4610075254961786E-6</c:v>
                </c:pt>
                <c:pt idx="43">
                  <c:v>2.2587669962939213E-6</c:v>
                </c:pt>
                <c:pt idx="44">
                  <c:v>1.1123620798546142E-6</c:v>
                </c:pt>
                <c:pt idx="45">
                  <c:v>5.3279137023018252E-7</c:v>
                </c:pt>
                <c:pt idx="46">
                  <c:v>2.4820152902099964E-7</c:v>
                </c:pt>
                <c:pt idx="47">
                  <c:v>1.1245738687156054E-7</c:v>
                </c:pt>
                <c:pt idx="48">
                  <c:v>4.9557317157809931E-8</c:v>
                </c:pt>
                <c:pt idx="49">
                  <c:v>2.1240456738902849E-8</c:v>
                </c:pt>
                <c:pt idx="50">
                  <c:v>8.8543396950730428E-9</c:v>
                </c:pt>
                <c:pt idx="51">
                  <c:v>3.5899200141810921E-9</c:v>
                </c:pt>
                <c:pt idx="52">
                  <c:v>1.4156295821516289E-9</c:v>
                </c:pt>
                <c:pt idx="53">
                  <c:v>5.4293864025285136E-10</c:v>
                </c:pt>
                <c:pt idx="54">
                  <c:v>2.0252942832744286E-10</c:v>
                </c:pt>
                <c:pt idx="55">
                  <c:v>7.3478754658720724E-11</c:v>
                </c:pt>
                <c:pt idx="56">
                  <c:v>2.5928160226898982E-11</c:v>
                </c:pt>
                <c:pt idx="57">
                  <c:v>8.8985220492095073E-12</c:v>
                </c:pt>
                <c:pt idx="58">
                  <c:v>2.9703000624507173E-12</c:v>
                </c:pt>
                <c:pt idx="59">
                  <c:v>9.6431524406928905E-13</c:v>
                </c:pt>
                <c:pt idx="60">
                  <c:v>3.0449068027881982E-13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2C7-4EC2-A522-42A365314CDF}"/>
            </c:ext>
          </c:extLst>
        </c:ser>
        <c:ser>
          <c:idx val="2"/>
          <c:order val="2"/>
          <c:tx>
            <c:v>EPE (Trade 1)</c:v>
          </c:tx>
          <c:spPr>
            <a:ln w="19050"/>
          </c:spPr>
          <c:marker>
            <c:symbol val="none"/>
          </c:marker>
          <c:xVal>
            <c:numRef>
              <c:f>'10.6 Marginal Exposure'!$J$37:$J$38</c:f>
              <c:numCache>
                <c:formatCode>0.000</c:formatCode>
                <c:ptCount val="2"/>
                <c:pt idx="0">
                  <c:v>7.6867273224175552</c:v>
                </c:pt>
                <c:pt idx="1">
                  <c:v>7.6867273224175552</c:v>
                </c:pt>
              </c:numCache>
            </c:numRef>
          </c:xVal>
          <c:yVal>
            <c:numRef>
              <c:f>'10.6 Marginal Exposure'!$G$37:$G$38</c:f>
              <c:numCache>
                <c:formatCode>0.00</c:formatCode>
                <c:ptCount val="2"/>
                <c:pt idx="0" formatCode="General">
                  <c:v>0</c:v>
                </c:pt>
                <c:pt idx="1">
                  <c:v>3.9695254747701178E-2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2C7-4EC2-A522-42A365314CDF}"/>
            </c:ext>
          </c:extLst>
        </c:ser>
        <c:ser>
          <c:idx val="3"/>
          <c:order val="3"/>
          <c:tx>
            <c:v>EPE (Trade 2)</c:v>
          </c:tx>
          <c:spPr>
            <a:ln w="19050"/>
          </c:spPr>
          <c:marker>
            <c:symbol val="none"/>
          </c:marker>
          <c:xVal>
            <c:numRef>
              <c:f>'10.6 Marginal Exposure'!$K$37:$K$38</c:f>
              <c:numCache>
                <c:formatCode>0.000</c:formatCode>
                <c:ptCount val="2"/>
                <c:pt idx="0">
                  <c:v>7.6270834289721581</c:v>
                </c:pt>
                <c:pt idx="1">
                  <c:v>7.6270834289721581</c:v>
                </c:pt>
              </c:numCache>
            </c:numRef>
          </c:xVal>
          <c:yVal>
            <c:numRef>
              <c:f>'10.6 Marginal Exposure'!$G$37:$G$38</c:f>
              <c:numCache>
                <c:formatCode>0.00</c:formatCode>
                <c:ptCount val="2"/>
                <c:pt idx="0" formatCode="General">
                  <c:v>0</c:v>
                </c:pt>
                <c:pt idx="1">
                  <c:v>3.9695254747701178E-2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2C7-4EC2-A522-42A365314C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855976"/>
        <c:axId val="408853624"/>
      </c:scatterChart>
      <c:valAx>
        <c:axId val="408855976"/>
        <c:scaling>
          <c:orientation val="minMax"/>
          <c:max val="100"/>
          <c:min val="-100"/>
        </c:scaling>
        <c:delete val="0"/>
        <c:axPos val="b"/>
        <c:numFmt formatCode="General" sourceLinked="1"/>
        <c:majorTickMark val="out"/>
        <c:minorTickMark val="none"/>
        <c:tickLblPos val="nextTo"/>
        <c:crossAx val="408853624"/>
        <c:crosses val="autoZero"/>
        <c:crossBetween val="midCat"/>
      </c:valAx>
      <c:valAx>
        <c:axId val="408853624"/>
        <c:scaling>
          <c:orientation val="minMax"/>
          <c:min val="0"/>
        </c:scaling>
        <c:delete val="0"/>
        <c:axPos val="l"/>
        <c:numFmt formatCode="0.00" sourceLinked="1"/>
        <c:majorTickMark val="out"/>
        <c:minorTickMark val="none"/>
        <c:tickLblPos val="nextTo"/>
        <c:crossAx val="408855976"/>
        <c:crosses val="autoZero"/>
        <c:crossBetween val="midCat"/>
      </c:valAx>
      <c:spPr>
        <a:ln>
          <a:solidFill>
            <a:schemeClr val="tx1"/>
          </a:solidFill>
        </a:ln>
      </c:spPr>
    </c:plotArea>
    <c:legend>
      <c:legendPos val="t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'10.6 Marginal Exposure'!$C$16</c:f>
              <c:strCache>
                <c:ptCount val="1"/>
                <c:pt idx="0">
                  <c:v>Trade 1</c:v>
                </c:pt>
              </c:strCache>
            </c:strRef>
          </c:tx>
          <c:invertIfNegative val="0"/>
          <c:cat>
            <c:strRef>
              <c:f>('10.6 Marginal Exposure'!$B$17,'10.6 Marginal Exposure'!$B$28)</c:f>
              <c:strCache>
                <c:ptCount val="2"/>
                <c:pt idx="0">
                  <c:v>Stand-alone EPE</c:v>
                </c:pt>
                <c:pt idx="1">
                  <c:v>Marginal EPE</c:v>
                </c:pt>
              </c:strCache>
            </c:strRef>
          </c:cat>
          <c:val>
            <c:numRef>
              <c:f>('10.6 Marginal Exposure'!$C$17,'10.6 Marginal Exposure'!$C$28)</c:f>
              <c:numCache>
                <c:formatCode>0.00</c:formatCode>
                <c:ptCount val="2"/>
                <c:pt idx="0">
                  <c:v>7.6867273224175552</c:v>
                </c:pt>
                <c:pt idx="1">
                  <c:v>3.9495435592877595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1E-4F87-9BB1-303637902A69}"/>
            </c:ext>
          </c:extLst>
        </c:ser>
        <c:ser>
          <c:idx val="1"/>
          <c:order val="1"/>
          <c:tx>
            <c:strRef>
              <c:f>'10.6 Marginal Exposure'!$D$16</c:f>
              <c:strCache>
                <c:ptCount val="1"/>
                <c:pt idx="0">
                  <c:v>Trade 2</c:v>
                </c:pt>
              </c:strCache>
            </c:strRef>
          </c:tx>
          <c:invertIfNegative val="0"/>
          <c:cat>
            <c:strRef>
              <c:f>('10.6 Marginal Exposure'!$B$17,'10.6 Marginal Exposure'!$B$28)</c:f>
              <c:strCache>
                <c:ptCount val="2"/>
                <c:pt idx="0">
                  <c:v>Stand-alone EPE</c:v>
                </c:pt>
                <c:pt idx="1">
                  <c:v>Marginal EPE</c:v>
                </c:pt>
              </c:strCache>
            </c:strRef>
          </c:cat>
          <c:val>
            <c:numRef>
              <c:f>('10.6 Marginal Exposure'!$D$17,'10.6 Marginal Exposure'!$D$28)</c:f>
              <c:numCache>
                <c:formatCode>0.00</c:formatCode>
                <c:ptCount val="2"/>
                <c:pt idx="0">
                  <c:v>7.6270834289721581</c:v>
                </c:pt>
                <c:pt idx="1">
                  <c:v>6.7669099996261171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1E-4F87-9BB1-303637902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8853232"/>
        <c:axId val="408854016"/>
      </c:barChart>
      <c:catAx>
        <c:axId val="4088532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08854016"/>
        <c:crosses val="autoZero"/>
        <c:auto val="1"/>
        <c:lblAlgn val="ctr"/>
        <c:lblOffset val="100"/>
        <c:noMultiLvlLbl val="0"/>
      </c:catAx>
      <c:valAx>
        <c:axId val="408854016"/>
        <c:scaling>
          <c:orientation val="minMax"/>
        </c:scaling>
        <c:delete val="0"/>
        <c:axPos val="l"/>
        <c:numFmt formatCode="0" sourceLinked="0"/>
        <c:majorTickMark val="out"/>
        <c:minorTickMark val="none"/>
        <c:tickLblPos val="nextTo"/>
        <c:crossAx val="408853232"/>
        <c:crosses val="autoZero"/>
        <c:crossBetween val="between"/>
      </c:valAx>
      <c:spPr>
        <a:noFill/>
        <a:ln>
          <a:solidFill>
            <a:schemeClr val="tx1"/>
          </a:solidFill>
        </a:ln>
      </c:spPr>
    </c:plotArea>
    <c:legend>
      <c:legendPos val="t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F$12" lockText="1" noThreeD="1"/>
</file>

<file path=xl/ctrlProps/ctrlProp2.xml><?xml version="1.0" encoding="utf-8"?>
<formControlPr xmlns="http://schemas.microsoft.com/office/spreadsheetml/2009/9/main" objectType="CheckBox" checked="Checked" fmlaLink="$F$13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s://cvacentral.com/books/credit-value-adjustment/" TargetMode="Externa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s://cvacentral.com/books/credit-value-adjustment/" TargetMode="Externa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https://cvacentral.com/books/credit-value-adjustment/" TargetMode="Externa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https://cvacentral.com/books/credit-value-adjustment/" TargetMode="Externa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https://cvacentral.com/books/credit-value-adjustment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10</xdr:col>
      <xdr:colOff>220980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7399020" cy="99631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Simple Exposure Metric Calculation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Simple example of the calculation of EPE, ENE and PFE (90% quantile)</a:t>
          </a:r>
        </a:p>
        <a:p>
          <a:pPr algn="l" rtl="0">
            <a:defRPr sz="1000"/>
          </a:pPr>
          <a:endParaRPr lang="en-GB" sz="1000" b="0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60960</xdr:colOff>
      <xdr:row>1</xdr:row>
      <xdr:rowOff>68580</xdr:rowOff>
    </xdr:from>
    <xdr:to>
      <xdr:col>10</xdr:col>
      <xdr:colOff>220980</xdr:colOff>
      <xdr:row>4</xdr:row>
      <xdr:rowOff>20955</xdr:rowOff>
    </xdr:to>
    <xdr:sp macro="" textlink="">
      <xdr:nvSpPr>
        <xdr:cNvPr id="4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016153-0988-4F6E-8BA5-86E68F7DF4DF}"/>
            </a:ext>
          </a:extLst>
        </xdr:cNvPr>
        <xdr:cNvSpPr txBox="1">
          <a:spLocks noChangeArrowheads="1"/>
        </xdr:cNvSpPr>
      </xdr:nvSpPr>
      <xdr:spPr bwMode="auto">
        <a:xfrm>
          <a:off x="6019800" y="236220"/>
          <a:ext cx="137922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11</xdr:col>
      <xdr:colOff>15240</xdr:colOff>
      <xdr:row>6</xdr:row>
      <xdr:rowOff>7620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8374380" cy="100393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2900"/>
            </a:lnSpc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EPE and PFE for a Normal Distribution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Analytical calculation of the exposure (EPE/ENE) and potential future exposure (PFE) for a normal distribution.</a:t>
          </a:r>
        </a:p>
      </xdr:txBody>
    </xdr:sp>
    <xdr:clientData/>
  </xdr:twoCellAnchor>
  <xdr:twoCellAnchor>
    <xdr:from>
      <xdr:col>3</xdr:col>
      <xdr:colOff>480060</xdr:colOff>
      <xdr:row>7</xdr:row>
      <xdr:rowOff>60960</xdr:rowOff>
    </xdr:from>
    <xdr:to>
      <xdr:col>11</xdr:col>
      <xdr:colOff>457200</xdr:colOff>
      <xdr:row>24</xdr:row>
      <xdr:rowOff>121920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449580</xdr:colOff>
      <xdr:row>3</xdr:row>
      <xdr:rowOff>22860</xdr:rowOff>
    </xdr:from>
    <xdr:to>
      <xdr:col>11</xdr:col>
      <xdr:colOff>373380</xdr:colOff>
      <xdr:row>5</xdr:row>
      <xdr:rowOff>142875</xdr:rowOff>
    </xdr:to>
    <xdr:sp macro="" textlink="">
      <xdr:nvSpPr>
        <xdr:cNvPr id="2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5435915-898B-466B-B5BB-CC5FFC080018}"/>
            </a:ext>
          </a:extLst>
        </xdr:cNvPr>
        <xdr:cNvSpPr txBox="1">
          <a:spLocks noChangeArrowheads="1"/>
        </xdr:cNvSpPr>
      </xdr:nvSpPr>
      <xdr:spPr bwMode="auto">
        <a:xfrm>
          <a:off x="6979920" y="525780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10</xdr:col>
      <xdr:colOff>7620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800100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Single-Name CDS Example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Illustration of PFE calculation for a single name CDS (including the probability of reference entity default in exposure).</a:t>
          </a:r>
        </a:p>
      </xdr:txBody>
    </xdr:sp>
    <xdr:clientData/>
  </xdr:twoCellAnchor>
  <xdr:twoCellAnchor>
    <xdr:from>
      <xdr:col>16</xdr:col>
      <xdr:colOff>569595</xdr:colOff>
      <xdr:row>9</xdr:row>
      <xdr:rowOff>114300</xdr:rowOff>
    </xdr:from>
    <xdr:to>
      <xdr:col>24</xdr:col>
      <xdr:colOff>264795</xdr:colOff>
      <xdr:row>26</xdr:row>
      <xdr:rowOff>76200</xdr:rowOff>
    </xdr:to>
    <xdr:graphicFrame macro="">
      <xdr:nvGraphicFramePr>
        <xdr:cNvPr id="203807" name="Chart 5">
          <a:extLst>
            <a:ext uri="{FF2B5EF4-FFF2-40B4-BE49-F238E27FC236}">
              <a16:creationId xmlns:a16="http://schemas.microsoft.com/office/drawing/2014/main" id="{00000000-0008-0000-0400-00001F1C03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271780</xdr:colOff>
      <xdr:row>13</xdr:row>
      <xdr:rowOff>87630</xdr:rowOff>
    </xdr:from>
    <xdr:to>
      <xdr:col>12</xdr:col>
      <xdr:colOff>33020</xdr:colOff>
      <xdr:row>27</xdr:row>
      <xdr:rowOff>171450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106680</xdr:colOff>
      <xdr:row>3</xdr:row>
      <xdr:rowOff>160020</xdr:rowOff>
    </xdr:from>
    <xdr:to>
      <xdr:col>10</xdr:col>
      <xdr:colOff>457200</xdr:colOff>
      <xdr:row>6</xdr:row>
      <xdr:rowOff>112395</xdr:rowOff>
    </xdr:to>
    <xdr:sp macro="" textlink="">
      <xdr:nvSpPr>
        <xdr:cNvPr id="4" name="Text Box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9C5F885-5070-4269-A65B-F19FC3BD8FA2}"/>
            </a:ext>
          </a:extLst>
        </xdr:cNvPr>
        <xdr:cNvSpPr txBox="1">
          <a:spLocks noChangeArrowheads="1"/>
        </xdr:cNvSpPr>
      </xdr:nvSpPr>
      <xdr:spPr bwMode="auto">
        <a:xfrm>
          <a:off x="6697980" y="662940"/>
          <a:ext cx="1752600" cy="45529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15287</xdr:rowOff>
    </xdr:from>
    <xdr:to>
      <xdr:col>10</xdr:col>
      <xdr:colOff>12700</xdr:colOff>
      <xdr:row>6</xdr:row>
      <xdr:rowOff>161878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0" y="15287"/>
          <a:ext cx="7797800" cy="1137191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Simple Cross-Currency Swap Profile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Simple illustration of the EPE of a cross-currency swap as a combination of an interest rate swap and FX forward. This is a simple example only and the real case would depend on the precise transaction details (e.g. fixed-fixed, floating-floating)</a:t>
          </a:r>
        </a:p>
      </xdr:txBody>
    </xdr:sp>
    <xdr:clientData/>
  </xdr:twoCellAnchor>
  <xdr:twoCellAnchor>
    <xdr:from>
      <xdr:col>6</xdr:col>
      <xdr:colOff>167640</xdr:colOff>
      <xdr:row>8</xdr:row>
      <xdr:rowOff>83820</xdr:rowOff>
    </xdr:from>
    <xdr:to>
      <xdr:col>13</xdr:col>
      <xdr:colOff>472440</xdr:colOff>
      <xdr:row>24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457200</xdr:colOff>
      <xdr:row>1</xdr:row>
      <xdr:rowOff>44450</xdr:rowOff>
    </xdr:from>
    <xdr:to>
      <xdr:col>10</xdr:col>
      <xdr:colOff>382270</xdr:colOff>
      <xdr:row>3</xdr:row>
      <xdr:rowOff>161925</xdr:rowOff>
    </xdr:to>
    <xdr:sp macro="" textlink="">
      <xdr:nvSpPr>
        <xdr:cNvPr id="4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D88FE9-C832-4BBF-B1AB-6067DC15C787}"/>
            </a:ext>
          </a:extLst>
        </xdr:cNvPr>
        <xdr:cNvSpPr txBox="1">
          <a:spLocks noChangeArrowheads="1"/>
        </xdr:cNvSpPr>
      </xdr:nvSpPr>
      <xdr:spPr bwMode="auto">
        <a:xfrm>
          <a:off x="6413500" y="209550"/>
          <a:ext cx="175387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106680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832866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Simple Two Transaction Example of Netting Effects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Simple example of the impact of netting (see Table 10.3).</a:t>
          </a:r>
        </a:p>
      </xdr:txBody>
    </xdr:sp>
    <xdr:clientData/>
  </xdr:twoCellAnchor>
  <xdr:twoCellAnchor>
    <xdr:from>
      <xdr:col>9</xdr:col>
      <xdr:colOff>304800</xdr:colOff>
      <xdr:row>4</xdr:row>
      <xdr:rowOff>25400</xdr:rowOff>
    </xdr:from>
    <xdr:to>
      <xdr:col>12</xdr:col>
      <xdr:colOff>229870</xdr:colOff>
      <xdr:row>6</xdr:row>
      <xdr:rowOff>142875</xdr:rowOff>
    </xdr:to>
    <xdr:sp macro="" textlink="">
      <xdr:nvSpPr>
        <xdr:cNvPr id="4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BCDBE07-9DCA-4B78-96AB-1C5F143ABCA2}"/>
            </a:ext>
          </a:extLst>
        </xdr:cNvPr>
        <xdr:cNvSpPr txBox="1">
          <a:spLocks noChangeArrowheads="1"/>
        </xdr:cNvSpPr>
      </xdr:nvSpPr>
      <xdr:spPr bwMode="auto">
        <a:xfrm>
          <a:off x="6680200" y="685800"/>
          <a:ext cx="175387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464820</xdr:colOff>
      <xdr:row>6</xdr:row>
      <xdr:rowOff>152400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896C56E9-0EB6-44BE-8CB1-03AB5535347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8039100" cy="115824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Example Marginal Exposure Calculation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Illustrates how to calculate marginal EPE assuming two Gaussian exposure distributions. </a:t>
          </a: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This calculates the derivatives of the EPE formula for a normal variable analytically. See Table 10.5 and 10.6 and Figure 10.23</a:t>
          </a:r>
        </a:p>
      </xdr:txBody>
    </xdr:sp>
    <xdr:clientData/>
  </xdr:twoCellAnchor>
  <xdr:twoCellAnchor>
    <xdr:from>
      <xdr:col>5</xdr:col>
      <xdr:colOff>57150</xdr:colOff>
      <xdr:row>8</xdr:row>
      <xdr:rowOff>152400</xdr:rowOff>
    </xdr:from>
    <xdr:to>
      <xdr:col>12</xdr:col>
      <xdr:colOff>219075</xdr:colOff>
      <xdr:row>25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722112A-3B17-4DFF-A11E-46FDC2E34B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228600</xdr:colOff>
      <xdr:row>8</xdr:row>
      <xdr:rowOff>152400</xdr:rowOff>
    </xdr:from>
    <xdr:to>
      <xdr:col>19</xdr:col>
      <xdr:colOff>533400</xdr:colOff>
      <xdr:row>25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87957C8-4DE1-4CAD-880C-0C36EFD74A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373380</xdr:colOff>
      <xdr:row>1</xdr:row>
      <xdr:rowOff>45720</xdr:rowOff>
    </xdr:from>
    <xdr:to>
      <xdr:col>11</xdr:col>
      <xdr:colOff>480060</xdr:colOff>
      <xdr:row>3</xdr:row>
      <xdr:rowOff>158115</xdr:rowOff>
    </xdr:to>
    <xdr:sp macro="" textlink="">
      <xdr:nvSpPr>
        <xdr:cNvPr id="6" name="Text Box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C77FE64-6A2B-40BC-85F7-87E41AE5535E}"/>
            </a:ext>
          </a:extLst>
        </xdr:cNvPr>
        <xdr:cNvSpPr txBox="1">
          <a:spLocks noChangeArrowheads="1"/>
        </xdr:cNvSpPr>
      </xdr:nvSpPr>
      <xdr:spPr bwMode="auto">
        <a:xfrm>
          <a:off x="6728460" y="213360"/>
          <a:ext cx="132588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14</xdr:col>
      <xdr:colOff>7620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1023366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Impact of Variation and Initial Margin on Exposure and Funding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Simple calculation of credit exposure and funding position in the presence of variation margin and (segregated or non-segregated) initial margin.</a:t>
          </a:r>
        </a:p>
        <a:p>
          <a:pPr algn="l" rtl="0">
            <a:defRPr sz="1000"/>
          </a:pPr>
          <a:r>
            <a:rPr lang="en-GB" sz="1000" b="0" i="1" u="none" strike="noStrike" baseline="0">
              <a:solidFill>
                <a:srgbClr val="000000"/>
              </a:solidFill>
              <a:latin typeface="Arial"/>
              <a:cs typeface="Arial"/>
            </a:rPr>
            <a:t>See Table 10.8.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10</xdr:row>
          <xdr:rowOff>152400</xdr:rowOff>
        </xdr:from>
        <xdr:to>
          <xdr:col>6</xdr:col>
          <xdr:colOff>129540</xdr:colOff>
          <xdr:row>12</xdr:row>
          <xdr:rowOff>22860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Segregated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</xdr:colOff>
          <xdr:row>11</xdr:row>
          <xdr:rowOff>175260</xdr:rowOff>
        </xdr:from>
        <xdr:to>
          <xdr:col>6</xdr:col>
          <xdr:colOff>129540</xdr:colOff>
          <xdr:row>13</xdr:row>
          <xdr:rowOff>45720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6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Segregated</a:t>
              </a:r>
            </a:p>
          </xdr:txBody>
        </xdr:sp>
        <xdr:clientData/>
      </xdr:twoCellAnchor>
    </mc:Choice>
    <mc:Fallback/>
  </mc:AlternateContent>
  <xdr:twoCellAnchor>
    <xdr:from>
      <xdr:col>11</xdr:col>
      <xdr:colOff>373380</xdr:colOff>
      <xdr:row>4</xdr:row>
      <xdr:rowOff>30480</xdr:rowOff>
    </xdr:from>
    <xdr:to>
      <xdr:col>14</xdr:col>
      <xdr:colOff>298450</xdr:colOff>
      <xdr:row>6</xdr:row>
      <xdr:rowOff>142875</xdr:rowOff>
    </xdr:to>
    <xdr:sp macro="" textlink="">
      <xdr:nvSpPr>
        <xdr:cNvPr id="4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436E597-B80F-46C9-9FE6-239DFB3536AB}"/>
            </a:ext>
          </a:extLst>
        </xdr:cNvPr>
        <xdr:cNvSpPr txBox="1">
          <a:spLocks noChangeArrowheads="1"/>
        </xdr:cNvSpPr>
      </xdr:nvSpPr>
      <xdr:spPr bwMode="auto">
        <a:xfrm>
          <a:off x="8770620" y="701040"/>
          <a:ext cx="175387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xVA%20Book%204th%20Edition/Spreadsheets/4E%20Chapter%2015A%20OLD.xlsm" TargetMode="External"/><Relationship Id="rId2" Type="http://schemas.openxmlformats.org/officeDocument/2006/relationships/externalLinkPath" Target="https://d.docs.live.net/502eee3437eb7218/Documents/xVA%20Book%204th%20Edition/Spreadsheets/4E%20Chapter%2015A%20OLD.xlsm" TargetMode="External"/><Relationship Id="rId1" Type="http://schemas.openxmlformats.org/officeDocument/2006/relationships/externalLinkPath" Target="/502eee3437eb7218/Documents/xVA%20Book%204th%20Edition/Spreadsheets/4E%20Chapter%2015A%20OL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IRCalibration"/>
      <sheetName val="15.1"/>
      <sheetName val="15.3"/>
      <sheetName val="15.5"/>
      <sheetName val="15.2"/>
      <sheetName val="15.8"/>
    </sheetNames>
    <sheetDataSet>
      <sheetData sheetId="0">
        <row r="9">
          <cell r="B9">
            <v>0.25</v>
          </cell>
          <cell r="C9">
            <v>8.0000000000000002E-3</v>
          </cell>
          <cell r="G9">
            <v>1</v>
          </cell>
          <cell r="H9">
            <v>7.5000002980232239E-3</v>
          </cell>
          <cell r="J9">
            <v>0</v>
          </cell>
        </row>
        <row r="10">
          <cell r="B10">
            <v>0.5</v>
          </cell>
          <cell r="C10">
            <v>8.5000000000000006E-3</v>
          </cell>
        </row>
        <row r="11">
          <cell r="B11">
            <v>1</v>
          </cell>
          <cell r="C11">
            <v>9.1999999999999998E-3</v>
          </cell>
        </row>
        <row r="12">
          <cell r="B12">
            <v>2</v>
          </cell>
          <cell r="C12">
            <v>0.01</v>
          </cell>
        </row>
        <row r="13">
          <cell r="B13">
            <v>3</v>
          </cell>
          <cell r="C13">
            <v>1.06E-2</v>
          </cell>
        </row>
        <row r="14">
          <cell r="B14">
            <v>5</v>
          </cell>
          <cell r="C14">
            <v>1.1900000000000001E-2</v>
          </cell>
        </row>
        <row r="15">
          <cell r="B15">
            <v>7</v>
          </cell>
          <cell r="C15">
            <v>1.32E-2</v>
          </cell>
        </row>
        <row r="16">
          <cell r="B16">
            <v>10</v>
          </cell>
          <cell r="C16">
            <v>1.4999999999999999E-2</v>
          </cell>
        </row>
        <row r="17">
          <cell r="B17">
            <v>20</v>
          </cell>
          <cell r="C17">
            <v>0.02</v>
          </cell>
        </row>
        <row r="20">
          <cell r="C20">
            <v>0.1</v>
          </cell>
        </row>
        <row r="21">
          <cell r="C21">
            <v>0.01</v>
          </cell>
        </row>
        <row r="23">
          <cell r="C23">
            <v>1.4874407318246937E-2</v>
          </cell>
        </row>
      </sheetData>
      <sheetData sheetId="1"/>
      <sheetData sheetId="2">
        <row r="8">
          <cell r="C8" t="str">
            <v>PAY</v>
          </cell>
        </row>
        <row r="54">
          <cell r="B54">
            <v>0.97530991202833262</v>
          </cell>
        </row>
        <row r="55">
          <cell r="B55">
            <v>0.49381461855278236</v>
          </cell>
        </row>
      </sheetData>
      <sheetData sheetId="3">
        <row r="10">
          <cell r="C10" t="str">
            <v>SWAP</v>
          </cell>
        </row>
        <row r="12">
          <cell r="C12">
            <v>1.4999999999999999E-2</v>
          </cell>
        </row>
        <row r="13">
          <cell r="C13">
            <v>0</v>
          </cell>
        </row>
        <row r="14">
          <cell r="C14">
            <v>10</v>
          </cell>
        </row>
        <row r="15">
          <cell r="C15" t="str">
            <v>Q</v>
          </cell>
        </row>
        <row r="16">
          <cell r="C16" t="str">
            <v>Q</v>
          </cell>
        </row>
        <row r="18">
          <cell r="C18" t="str">
            <v>NO</v>
          </cell>
        </row>
        <row r="19">
          <cell r="C19">
            <v>10</v>
          </cell>
        </row>
        <row r="20">
          <cell r="C20">
            <v>0</v>
          </cell>
        </row>
        <row r="21">
          <cell r="C21">
            <v>0</v>
          </cell>
        </row>
        <row r="22">
          <cell r="C22">
            <v>0</v>
          </cell>
        </row>
        <row r="24">
          <cell r="C24">
            <v>10000</v>
          </cell>
        </row>
        <row r="25">
          <cell r="C25">
            <v>12121212</v>
          </cell>
        </row>
        <row r="26">
          <cell r="C26">
            <v>0.95</v>
          </cell>
        </row>
      </sheetData>
      <sheetData sheetId="4">
        <row r="16">
          <cell r="C16" t="str">
            <v>Trade 1</v>
          </cell>
        </row>
      </sheetData>
      <sheetData sheetId="5">
        <row r="8">
          <cell r="C8">
            <v>100</v>
          </cell>
        </row>
        <row r="9">
          <cell r="C9">
            <v>3.5000000000000003E-2</v>
          </cell>
        </row>
        <row r="10">
          <cell r="C10">
            <v>1.7500000000000002E-2</v>
          </cell>
        </row>
        <row r="11">
          <cell r="C11">
            <v>109.14422644429519</v>
          </cell>
        </row>
        <row r="12">
          <cell r="C12">
            <v>0</v>
          </cell>
        </row>
        <row r="14">
          <cell r="C14" t="e">
            <v>#NUM!</v>
          </cell>
        </row>
        <row r="15">
          <cell r="C15" t="e">
            <v>#NUM!</v>
          </cell>
        </row>
        <row r="16">
          <cell r="C16">
            <v>0.1</v>
          </cell>
        </row>
        <row r="17">
          <cell r="C17">
            <v>0.9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68E00-FBE5-4FAF-8249-7622682EB290}">
  <sheetPr codeName="Sheet7"/>
  <dimension ref="A1:P98"/>
  <sheetViews>
    <sheetView showGridLines="0" tabSelected="1" zoomScaleNormal="100" workbookViewId="0">
      <pane ySplit="6" topLeftCell="A7" activePane="bottomLeft" state="frozen"/>
      <selection pane="bottomLeft" activeCell="G27" sqref="G27"/>
    </sheetView>
  </sheetViews>
  <sheetFormatPr defaultRowHeight="13.2" x14ac:dyDescent="0.25"/>
  <cols>
    <col min="2" max="2" width="11.44140625" bestFit="1" customWidth="1"/>
    <col min="3" max="3" width="14.21875" bestFit="1" customWidth="1"/>
    <col min="4" max="4" width="8.6640625" bestFit="1" customWidth="1"/>
    <col min="5" max="5" width="12.21875" customWidth="1"/>
    <col min="6" max="6" width="10.5546875" customWidth="1"/>
    <col min="7" max="7" width="12" customWidth="1"/>
  </cols>
  <sheetData>
    <row r="1" spans="1:16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</row>
    <row r="8" spans="1:16" ht="13.8" thickBot="1" x14ac:dyDescent="0.3">
      <c r="A8" s="14"/>
      <c r="B8" s="14"/>
      <c r="C8" s="14"/>
      <c r="D8" s="14"/>
      <c r="E8" s="14"/>
      <c r="F8" s="14"/>
      <c r="G8" s="14"/>
      <c r="H8" s="14"/>
    </row>
    <row r="9" spans="1:16" ht="14.4" customHeight="1" thickBot="1" x14ac:dyDescent="0.35">
      <c r="A9" s="14"/>
      <c r="B9" s="168" t="s">
        <v>28</v>
      </c>
      <c r="C9" s="169"/>
      <c r="D9" s="73"/>
      <c r="E9" s="168" t="s">
        <v>28</v>
      </c>
      <c r="F9" s="169"/>
      <c r="G9" s="73"/>
      <c r="H9" s="73"/>
      <c r="I9" s="73"/>
      <c r="J9" s="73"/>
      <c r="K9" s="73"/>
    </row>
    <row r="10" spans="1:16" ht="14.4" customHeight="1" x14ac:dyDescent="0.3">
      <c r="A10" s="14"/>
      <c r="B10" s="74" t="s">
        <v>20</v>
      </c>
      <c r="C10" s="81">
        <v>70</v>
      </c>
      <c r="D10" s="75"/>
      <c r="E10" s="76" t="s">
        <v>20</v>
      </c>
      <c r="F10" s="82">
        <v>55</v>
      </c>
      <c r="G10" s="73"/>
      <c r="H10" t="s">
        <v>65</v>
      </c>
      <c r="I10" s="73"/>
      <c r="J10" s="73"/>
      <c r="K10" s="73"/>
    </row>
    <row r="11" spans="1:16" ht="14.4" customHeight="1" x14ac:dyDescent="0.3">
      <c r="A11" s="14"/>
      <c r="B11" s="74" t="s">
        <v>21</v>
      </c>
      <c r="C11" s="81">
        <v>50</v>
      </c>
      <c r="D11" s="73"/>
      <c r="E11" s="74" t="s">
        <v>21</v>
      </c>
      <c r="F11" s="81">
        <v>50</v>
      </c>
      <c r="G11" s="73"/>
      <c r="H11" t="s">
        <v>66</v>
      </c>
      <c r="I11" s="73"/>
      <c r="J11" s="73"/>
      <c r="K11" s="73"/>
    </row>
    <row r="12" spans="1:16" ht="14.4" customHeight="1" x14ac:dyDescent="0.3">
      <c r="A12" s="14"/>
      <c r="B12" s="74" t="s">
        <v>22</v>
      </c>
      <c r="C12" s="81">
        <v>30</v>
      </c>
      <c r="D12" s="73"/>
      <c r="E12" s="74" t="s">
        <v>22</v>
      </c>
      <c r="F12" s="81">
        <v>-30</v>
      </c>
      <c r="G12" s="73"/>
      <c r="H12" t="s">
        <v>67</v>
      </c>
      <c r="I12" s="73"/>
      <c r="J12" s="73"/>
      <c r="K12" s="73"/>
    </row>
    <row r="13" spans="1:16" ht="14.4" customHeight="1" x14ac:dyDescent="0.3">
      <c r="A13" s="14"/>
      <c r="B13" s="74" t="s">
        <v>23</v>
      </c>
      <c r="C13" s="81">
        <v>-10</v>
      </c>
      <c r="D13" s="73"/>
      <c r="E13" s="74" t="s">
        <v>23</v>
      </c>
      <c r="F13" s="81">
        <v>-10</v>
      </c>
      <c r="G13" s="73"/>
      <c r="H13" t="s">
        <v>68</v>
      </c>
      <c r="I13" s="73"/>
      <c r="J13" s="73"/>
      <c r="K13" s="73"/>
    </row>
    <row r="14" spans="1:16" ht="14.4" customHeight="1" x14ac:dyDescent="0.3">
      <c r="A14" s="14"/>
      <c r="B14" s="74" t="s">
        <v>24</v>
      </c>
      <c r="C14" s="81">
        <v>-30</v>
      </c>
      <c r="D14" s="73"/>
      <c r="E14" s="74" t="s">
        <v>24</v>
      </c>
      <c r="F14" s="81">
        <v>-30</v>
      </c>
      <c r="G14" s="73"/>
      <c r="H14" s="73"/>
      <c r="I14" s="73"/>
      <c r="J14" s="73"/>
      <c r="K14" s="73"/>
    </row>
    <row r="15" spans="1:16" ht="14.4" customHeight="1" x14ac:dyDescent="0.3">
      <c r="A15" s="14"/>
      <c r="B15" s="77" t="s">
        <v>64</v>
      </c>
      <c r="C15" s="85">
        <f>SUM(C10:C14)/5</f>
        <v>22</v>
      </c>
      <c r="D15" s="73"/>
      <c r="E15" s="74" t="s">
        <v>31</v>
      </c>
      <c r="F15" s="83">
        <v>25</v>
      </c>
      <c r="G15" s="73"/>
      <c r="H15" s="73"/>
      <c r="I15" s="73"/>
      <c r="J15" s="73"/>
      <c r="K15" s="73"/>
    </row>
    <row r="16" spans="1:16" ht="14.4" customHeight="1" x14ac:dyDescent="0.3">
      <c r="A16" s="14"/>
      <c r="B16" s="74" t="s">
        <v>13</v>
      </c>
      <c r="C16" s="86">
        <f ca="1">SMALL(C10:C14,90%*5)</f>
        <v>50</v>
      </c>
      <c r="D16" s="73"/>
      <c r="E16" s="74" t="s">
        <v>32</v>
      </c>
      <c r="F16" s="83">
        <v>-35</v>
      </c>
      <c r="G16" s="73"/>
      <c r="H16" s="73"/>
      <c r="I16" s="73"/>
      <c r="J16" s="73"/>
      <c r="K16" s="73"/>
    </row>
    <row r="17" spans="1:13" ht="14.4" customHeight="1" x14ac:dyDescent="0.3">
      <c r="A17" s="14"/>
      <c r="B17" s="74" t="s">
        <v>6</v>
      </c>
      <c r="C17" s="86">
        <f>SUMIF(C10:C14,"&gt;0")/5</f>
        <v>30</v>
      </c>
      <c r="D17" s="73"/>
      <c r="E17" s="74" t="s">
        <v>33</v>
      </c>
      <c r="F17" s="83">
        <v>-30</v>
      </c>
      <c r="G17" s="73"/>
      <c r="H17" s="73"/>
      <c r="I17" s="73"/>
      <c r="J17" s="73"/>
      <c r="K17" s="73"/>
    </row>
    <row r="18" spans="1:13" ht="14.4" customHeight="1" thickBot="1" x14ac:dyDescent="0.35">
      <c r="A18" s="14"/>
      <c r="B18" s="78" t="s">
        <v>30</v>
      </c>
      <c r="C18" s="87">
        <f>SUMIF(C10:C14,"&lt;0")/5</f>
        <v>-8</v>
      </c>
      <c r="D18" s="73"/>
      <c r="E18" s="74" t="s">
        <v>34</v>
      </c>
      <c r="F18" s="83">
        <v>-20</v>
      </c>
      <c r="G18" s="73"/>
      <c r="H18" s="73"/>
      <c r="I18" s="73"/>
      <c r="J18" s="73"/>
      <c r="K18" s="73"/>
    </row>
    <row r="19" spans="1:13" ht="14.4" x14ac:dyDescent="0.3">
      <c r="A19" s="14"/>
      <c r="B19" s="79"/>
      <c r="C19" s="79"/>
      <c r="D19" s="73"/>
      <c r="E19" s="74" t="s">
        <v>35</v>
      </c>
      <c r="F19" s="84">
        <v>5</v>
      </c>
      <c r="G19" s="73"/>
      <c r="H19" s="73"/>
      <c r="I19" s="73"/>
      <c r="J19" s="73"/>
      <c r="K19" s="73"/>
    </row>
    <row r="20" spans="1:13" ht="14.4" x14ac:dyDescent="0.3">
      <c r="A20" s="14"/>
      <c r="B20" s="79"/>
      <c r="C20" s="79"/>
      <c r="D20" s="79"/>
      <c r="E20" s="77" t="s">
        <v>64</v>
      </c>
      <c r="F20" s="85">
        <f>AVERAGE(F10:F19)</f>
        <v>-2</v>
      </c>
      <c r="G20" s="80"/>
      <c r="H20" s="73"/>
      <c r="I20" s="73"/>
      <c r="J20" s="73"/>
      <c r="K20" s="73"/>
      <c r="L20" s="14"/>
      <c r="M20" s="14"/>
    </row>
    <row r="21" spans="1:13" ht="14.4" x14ac:dyDescent="0.3">
      <c r="A21" s="14"/>
      <c r="B21" s="79"/>
      <c r="C21" s="79"/>
      <c r="D21" s="79"/>
      <c r="E21" s="74" t="s">
        <v>13</v>
      </c>
      <c r="F21" s="86">
        <f ca="1">SMALL(F10:F19,90%*10)</f>
        <v>50</v>
      </c>
      <c r="G21" s="80"/>
      <c r="H21" s="73"/>
      <c r="I21" s="73"/>
      <c r="J21" s="73"/>
      <c r="K21" s="73"/>
      <c r="L21" s="14"/>
      <c r="M21" s="14"/>
    </row>
    <row r="22" spans="1:13" ht="14.4" x14ac:dyDescent="0.3">
      <c r="A22" s="14"/>
      <c r="B22" s="79"/>
      <c r="C22" s="79"/>
      <c r="D22" s="79"/>
      <c r="E22" s="74" t="s">
        <v>6</v>
      </c>
      <c r="F22" s="86">
        <f>SUMIF(F10:F19,"&gt;0")/10</f>
        <v>13.5</v>
      </c>
      <c r="G22" s="80"/>
      <c r="H22" s="73"/>
      <c r="I22" s="73"/>
      <c r="J22" s="73"/>
      <c r="K22" s="73"/>
      <c r="L22" s="14"/>
      <c r="M22" s="14"/>
    </row>
    <row r="23" spans="1:13" ht="15" thickBot="1" x14ac:dyDescent="0.35">
      <c r="A23" s="14"/>
      <c r="B23" s="79"/>
      <c r="C23" s="79"/>
      <c r="D23" s="79"/>
      <c r="E23" s="78" t="s">
        <v>30</v>
      </c>
      <c r="F23" s="87">
        <f>SUMIF(F10:F19,"&lt;0")/10</f>
        <v>-15.5</v>
      </c>
      <c r="G23" s="80"/>
      <c r="H23" s="73"/>
      <c r="I23" s="73"/>
      <c r="J23" s="73"/>
      <c r="K23" s="73"/>
      <c r="L23" s="14"/>
      <c r="M23" s="14"/>
    </row>
    <row r="24" spans="1:13" ht="14.4" x14ac:dyDescent="0.3">
      <c r="A24" s="14"/>
      <c r="B24" s="79"/>
      <c r="C24" s="79"/>
      <c r="D24" s="79"/>
      <c r="E24" s="79"/>
      <c r="F24" s="79"/>
      <c r="G24" s="80"/>
      <c r="H24" s="73"/>
      <c r="I24" s="73"/>
      <c r="J24" s="73"/>
      <c r="K24" s="73"/>
      <c r="L24" s="14"/>
      <c r="M24" s="14"/>
    </row>
    <row r="25" spans="1:13" ht="14.4" x14ac:dyDescent="0.3">
      <c r="A25" s="14"/>
      <c r="B25" s="79"/>
      <c r="C25" s="79"/>
      <c r="D25" s="79"/>
      <c r="E25" s="79"/>
      <c r="F25" s="79"/>
      <c r="G25" s="80"/>
      <c r="H25" s="73"/>
      <c r="I25" s="73"/>
      <c r="J25" s="73"/>
      <c r="K25" s="73"/>
      <c r="L25" s="14"/>
      <c r="M25" s="14"/>
    </row>
    <row r="26" spans="1:13" ht="14.4" x14ac:dyDescent="0.3">
      <c r="B26" s="79"/>
      <c r="C26" s="79"/>
      <c r="D26" s="79"/>
      <c r="E26" s="79"/>
      <c r="F26" s="79"/>
      <c r="G26" s="80"/>
      <c r="H26" s="73"/>
      <c r="I26" s="73"/>
      <c r="J26" s="73"/>
      <c r="K26" s="73"/>
    </row>
    <row r="27" spans="1:13" ht="14.4" x14ac:dyDescent="0.3">
      <c r="B27" s="79"/>
      <c r="C27" s="79"/>
      <c r="D27" s="79"/>
      <c r="E27" s="79"/>
      <c r="F27" s="79"/>
      <c r="G27" s="80"/>
      <c r="H27" s="73"/>
      <c r="I27" s="73"/>
      <c r="J27" s="73"/>
      <c r="K27" s="73"/>
    </row>
    <row r="28" spans="1:13" ht="14.4" x14ac:dyDescent="0.3">
      <c r="B28" s="79"/>
      <c r="C28" s="79"/>
      <c r="D28" s="79"/>
      <c r="E28" s="79"/>
      <c r="F28" s="79"/>
      <c r="G28" s="80"/>
      <c r="H28" s="73"/>
      <c r="I28" s="73"/>
      <c r="J28" s="73"/>
      <c r="K28" s="73"/>
    </row>
    <row r="29" spans="1:13" ht="14.4" x14ac:dyDescent="0.3">
      <c r="B29" s="79"/>
      <c r="C29" s="79"/>
      <c r="D29" s="79"/>
      <c r="E29" s="79"/>
      <c r="F29" s="79"/>
      <c r="G29" s="80"/>
      <c r="H29" s="73"/>
      <c r="I29" s="73"/>
      <c r="J29" s="73"/>
      <c r="K29" s="73"/>
    </row>
    <row r="30" spans="1:13" ht="14.4" x14ac:dyDescent="0.3">
      <c r="B30" s="79"/>
      <c r="C30" s="79"/>
      <c r="D30" s="79"/>
      <c r="E30" s="79"/>
      <c r="F30" s="79"/>
      <c r="G30" s="80"/>
      <c r="H30" s="73"/>
      <c r="I30" s="73"/>
      <c r="J30" s="73"/>
      <c r="K30" s="73"/>
    </row>
    <row r="31" spans="1:13" ht="14.4" x14ac:dyDescent="0.3">
      <c r="B31" s="79"/>
      <c r="C31" s="79"/>
      <c r="D31" s="79"/>
      <c r="E31" s="79"/>
      <c r="F31" s="79"/>
      <c r="G31" s="80"/>
      <c r="H31" s="73"/>
      <c r="I31" s="73"/>
      <c r="J31" s="73"/>
      <c r="K31" s="73"/>
    </row>
    <row r="32" spans="1:13" ht="14.4" x14ac:dyDescent="0.3">
      <c r="B32" s="79"/>
      <c r="C32" s="79"/>
      <c r="D32" s="79"/>
      <c r="E32" s="79"/>
      <c r="F32" s="79"/>
      <c r="G32" s="80"/>
      <c r="H32" s="73"/>
      <c r="I32" s="73"/>
      <c r="J32" s="73"/>
      <c r="K32" s="73"/>
    </row>
    <row r="33" spans="2:11" ht="14.4" x14ac:dyDescent="0.3">
      <c r="B33" s="79"/>
      <c r="C33" s="79"/>
      <c r="D33" s="79"/>
      <c r="E33" s="79"/>
      <c r="F33" s="79"/>
      <c r="G33" s="80"/>
      <c r="H33" s="73"/>
      <c r="I33" s="73"/>
      <c r="J33" s="73"/>
      <c r="K33" s="73"/>
    </row>
    <row r="34" spans="2:11" ht="14.4" x14ac:dyDescent="0.3">
      <c r="B34" s="79"/>
      <c r="C34" s="79"/>
      <c r="D34" s="79"/>
      <c r="E34" s="79"/>
      <c r="F34" s="79"/>
      <c r="G34" s="80"/>
      <c r="H34" s="73"/>
      <c r="I34" s="73"/>
      <c r="J34" s="73"/>
      <c r="K34" s="73"/>
    </row>
    <row r="35" spans="2:11" ht="14.4" x14ac:dyDescent="0.3">
      <c r="B35" s="79"/>
      <c r="C35" s="79"/>
      <c r="D35" s="79"/>
      <c r="E35" s="79"/>
      <c r="F35" s="79"/>
      <c r="G35" s="80"/>
      <c r="H35" s="73"/>
      <c r="I35" s="73"/>
      <c r="J35" s="73"/>
      <c r="K35" s="73"/>
    </row>
    <row r="36" spans="2:11" ht="14.4" x14ac:dyDescent="0.3">
      <c r="B36" s="73"/>
      <c r="C36" s="73"/>
      <c r="D36" s="73"/>
      <c r="E36" s="73"/>
      <c r="F36" s="73"/>
      <c r="G36" s="80"/>
      <c r="H36" s="73"/>
      <c r="I36" s="73"/>
      <c r="J36" s="73"/>
      <c r="K36" s="73"/>
    </row>
    <row r="37" spans="2:11" x14ac:dyDescent="0.25">
      <c r="G37" s="3"/>
    </row>
    <row r="38" spans="2:11" x14ac:dyDescent="0.25">
      <c r="G38" s="3"/>
    </row>
    <row r="39" spans="2:11" x14ac:dyDescent="0.25">
      <c r="G39" s="3"/>
    </row>
    <row r="40" spans="2:11" x14ac:dyDescent="0.25">
      <c r="G40" s="3"/>
    </row>
    <row r="41" spans="2:11" x14ac:dyDescent="0.25">
      <c r="G41" s="3"/>
    </row>
    <row r="42" spans="2:11" x14ac:dyDescent="0.25">
      <c r="G42" s="3"/>
    </row>
    <row r="43" spans="2:11" x14ac:dyDescent="0.25">
      <c r="G43" s="3"/>
    </row>
    <row r="44" spans="2:11" x14ac:dyDescent="0.25">
      <c r="G44" s="3"/>
    </row>
    <row r="45" spans="2:11" x14ac:dyDescent="0.25">
      <c r="G45" s="3"/>
    </row>
    <row r="46" spans="2:11" x14ac:dyDescent="0.25">
      <c r="G46" s="3"/>
    </row>
    <row r="47" spans="2:11" x14ac:dyDescent="0.25">
      <c r="G47" s="3"/>
    </row>
    <row r="48" spans="2:11" x14ac:dyDescent="0.25">
      <c r="G48" s="3"/>
    </row>
    <row r="49" spans="7:7" x14ac:dyDescent="0.25">
      <c r="G49" s="3"/>
    </row>
    <row r="50" spans="7:7" x14ac:dyDescent="0.25">
      <c r="G50" s="3"/>
    </row>
    <row r="51" spans="7:7" x14ac:dyDescent="0.25">
      <c r="G51" s="3"/>
    </row>
    <row r="52" spans="7:7" x14ac:dyDescent="0.25">
      <c r="G52" s="3"/>
    </row>
    <row r="53" spans="7:7" x14ac:dyDescent="0.25">
      <c r="G53" s="3"/>
    </row>
    <row r="54" spans="7:7" x14ac:dyDescent="0.25">
      <c r="G54" s="3"/>
    </row>
    <row r="55" spans="7:7" x14ac:dyDescent="0.25">
      <c r="G55" s="3"/>
    </row>
    <row r="56" spans="7:7" x14ac:dyDescent="0.25">
      <c r="G56" s="3"/>
    </row>
    <row r="57" spans="7:7" x14ac:dyDescent="0.25">
      <c r="G57" s="3"/>
    </row>
    <row r="58" spans="7:7" x14ac:dyDescent="0.25">
      <c r="G58" s="3"/>
    </row>
    <row r="59" spans="7:7" x14ac:dyDescent="0.25">
      <c r="G59" s="3"/>
    </row>
    <row r="60" spans="7:7" x14ac:dyDescent="0.25">
      <c r="G60" s="3"/>
    </row>
    <row r="61" spans="7:7" x14ac:dyDescent="0.25">
      <c r="G61" s="3"/>
    </row>
    <row r="62" spans="7:7" x14ac:dyDescent="0.25">
      <c r="G62" s="3"/>
    </row>
    <row r="63" spans="7:7" x14ac:dyDescent="0.25">
      <c r="G63" s="3"/>
    </row>
    <row r="64" spans="7:7" x14ac:dyDescent="0.25">
      <c r="G64" s="3"/>
    </row>
    <row r="65" spans="7:7" x14ac:dyDescent="0.25">
      <c r="G65" s="3"/>
    </row>
    <row r="66" spans="7:7" x14ac:dyDescent="0.25">
      <c r="G66" s="3"/>
    </row>
    <row r="67" spans="7:7" x14ac:dyDescent="0.25">
      <c r="G67" s="3"/>
    </row>
    <row r="68" spans="7:7" x14ac:dyDescent="0.25">
      <c r="G68" s="3"/>
    </row>
    <row r="69" spans="7:7" x14ac:dyDescent="0.25">
      <c r="G69" s="3"/>
    </row>
    <row r="70" spans="7:7" x14ac:dyDescent="0.25">
      <c r="G70" s="3"/>
    </row>
    <row r="71" spans="7:7" x14ac:dyDescent="0.25">
      <c r="G71" s="3"/>
    </row>
    <row r="72" spans="7:7" x14ac:dyDescent="0.25">
      <c r="G72" s="3"/>
    </row>
    <row r="73" spans="7:7" x14ac:dyDescent="0.25">
      <c r="G73" s="3"/>
    </row>
    <row r="74" spans="7:7" x14ac:dyDescent="0.25">
      <c r="G74" s="3"/>
    </row>
    <row r="75" spans="7:7" x14ac:dyDescent="0.25">
      <c r="G75" s="3"/>
    </row>
    <row r="76" spans="7:7" x14ac:dyDescent="0.25">
      <c r="G76" s="3"/>
    </row>
    <row r="77" spans="7:7" x14ac:dyDescent="0.25">
      <c r="G77" s="3"/>
    </row>
    <row r="78" spans="7:7" x14ac:dyDescent="0.25">
      <c r="G78" s="3"/>
    </row>
    <row r="79" spans="7:7" x14ac:dyDescent="0.25">
      <c r="G79" s="3"/>
    </row>
    <row r="80" spans="7:7" x14ac:dyDescent="0.25">
      <c r="G80" s="3"/>
    </row>
    <row r="81" spans="7:7" x14ac:dyDescent="0.25">
      <c r="G81" s="3"/>
    </row>
    <row r="82" spans="7:7" x14ac:dyDescent="0.25">
      <c r="G82" s="3"/>
    </row>
    <row r="83" spans="7:7" x14ac:dyDescent="0.25">
      <c r="G83" s="3"/>
    </row>
    <row r="84" spans="7:7" x14ac:dyDescent="0.25">
      <c r="G84" s="3"/>
    </row>
    <row r="85" spans="7:7" x14ac:dyDescent="0.25">
      <c r="G85" s="3"/>
    </row>
    <row r="86" spans="7:7" x14ac:dyDescent="0.25">
      <c r="G86" s="3"/>
    </row>
    <row r="87" spans="7:7" x14ac:dyDescent="0.25">
      <c r="G87" s="3"/>
    </row>
    <row r="88" spans="7:7" x14ac:dyDescent="0.25">
      <c r="G88" s="3"/>
    </row>
    <row r="89" spans="7:7" x14ac:dyDescent="0.25">
      <c r="G89" s="3"/>
    </row>
    <row r="90" spans="7:7" x14ac:dyDescent="0.25">
      <c r="G90" s="3"/>
    </row>
    <row r="91" spans="7:7" x14ac:dyDescent="0.25">
      <c r="G91" s="3"/>
    </row>
    <row r="92" spans="7:7" x14ac:dyDescent="0.25">
      <c r="G92" s="3"/>
    </row>
    <row r="93" spans="7:7" x14ac:dyDescent="0.25">
      <c r="G93" s="3"/>
    </row>
    <row r="94" spans="7:7" x14ac:dyDescent="0.25">
      <c r="G94" s="3"/>
    </row>
    <row r="95" spans="7:7" x14ac:dyDescent="0.25">
      <c r="G95" s="3"/>
    </row>
    <row r="96" spans="7:7" x14ac:dyDescent="0.25">
      <c r="G96" s="3"/>
    </row>
    <row r="97" spans="7:7" x14ac:dyDescent="0.25">
      <c r="G97" s="3"/>
    </row>
    <row r="98" spans="7:7" x14ac:dyDescent="0.25">
      <c r="G98" s="3"/>
    </row>
  </sheetData>
  <mergeCells count="2">
    <mergeCell ref="E9:F9"/>
    <mergeCell ref="B9:C9"/>
  </mergeCell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99"/>
  <sheetViews>
    <sheetView showGridLines="0" zoomScaleNormal="100" workbookViewId="0">
      <pane ySplit="6" topLeftCell="A7" activePane="bottomLeft" state="frozen"/>
      <selection pane="bottomLeft" activeCell="D30" sqref="D30"/>
    </sheetView>
  </sheetViews>
  <sheetFormatPr defaultRowHeight="13.2" x14ac:dyDescent="0.25"/>
  <cols>
    <col min="2" max="2" width="32.21875" bestFit="1" customWidth="1"/>
    <col min="3" max="3" width="9.6640625" customWidth="1"/>
  </cols>
  <sheetData>
    <row r="1" spans="1:16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4.4" x14ac:dyDescent="0.3">
      <c r="A7" s="73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</row>
    <row r="8" spans="1:16" ht="15" thickBot="1" x14ac:dyDescent="0.35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</row>
    <row r="9" spans="1:16" ht="15" thickBot="1" x14ac:dyDescent="0.35">
      <c r="A9" s="73"/>
      <c r="B9" s="170" t="s">
        <v>0</v>
      </c>
      <c r="C9" s="171"/>
      <c r="D9" s="73"/>
      <c r="E9" s="73"/>
      <c r="F9" s="73"/>
      <c r="G9" s="73" t="s">
        <v>5</v>
      </c>
      <c r="H9" s="73"/>
      <c r="I9" s="73"/>
      <c r="J9" s="73"/>
      <c r="K9" s="73"/>
      <c r="L9" s="73"/>
      <c r="M9" s="73"/>
      <c r="N9" s="73"/>
      <c r="O9" s="73"/>
      <c r="P9" s="73"/>
    </row>
    <row r="10" spans="1:16" ht="14.4" x14ac:dyDescent="0.3">
      <c r="A10" s="73"/>
      <c r="B10" s="89" t="s">
        <v>2</v>
      </c>
      <c r="C10" s="94">
        <v>4</v>
      </c>
      <c r="D10" s="73"/>
      <c r="E10" s="73"/>
      <c r="F10" s="90">
        <f>Mu-Sigma*4</f>
        <v>-30</v>
      </c>
      <c r="G10" s="80">
        <f t="shared" ref="G10:G41" si="0">NORMDIST(F10,Mu,Sigma,FALSE)</f>
        <v>1.574473244292769E-5</v>
      </c>
      <c r="H10" s="91">
        <f>EPE</f>
        <v>5.7597057545720194</v>
      </c>
      <c r="I10" s="91">
        <f>ENE</f>
        <v>-1.7597057545720194</v>
      </c>
      <c r="J10" s="91">
        <v>0</v>
      </c>
      <c r="K10" s="91">
        <f>Mu</f>
        <v>4</v>
      </c>
      <c r="L10" s="73">
        <f>PFEhigh</f>
        <v>23.773956929347147</v>
      </c>
      <c r="M10" s="73">
        <f>PFElow</f>
        <v>-15.773956929347147</v>
      </c>
      <c r="N10" s="73"/>
      <c r="O10" s="73"/>
      <c r="P10" s="73"/>
    </row>
    <row r="11" spans="1:16" ht="14.4" x14ac:dyDescent="0.3">
      <c r="A11" s="73"/>
      <c r="B11" s="92" t="s">
        <v>3</v>
      </c>
      <c r="C11" s="95">
        <v>8.5</v>
      </c>
      <c r="D11" s="73"/>
      <c r="E11" s="73"/>
      <c r="F11" s="90">
        <f t="shared" ref="F11:F42" si="1">F10+Sigma/10</f>
        <v>-29.15</v>
      </c>
      <c r="G11" s="80">
        <f t="shared" si="0"/>
        <v>2.3371231928561497E-5</v>
      </c>
      <c r="H11" s="91">
        <f>H10</f>
        <v>5.7597057545720194</v>
      </c>
      <c r="I11" s="91">
        <f>I10</f>
        <v>-1.7597057545720194</v>
      </c>
      <c r="J11" s="91">
        <f>MAX(G10:G95)</f>
        <v>4.6934385929580318E-2</v>
      </c>
      <c r="K11" s="91">
        <f>K10</f>
        <v>4</v>
      </c>
      <c r="L11" s="73">
        <f>L10</f>
        <v>23.773956929347147</v>
      </c>
      <c r="M11" s="91">
        <f>M10</f>
        <v>-15.773956929347147</v>
      </c>
      <c r="N11" s="73"/>
      <c r="O11" s="73"/>
      <c r="P11" s="73"/>
    </row>
    <row r="12" spans="1:16" ht="15" thickBot="1" x14ac:dyDescent="0.35">
      <c r="A12" s="73"/>
      <c r="B12" s="93" t="s">
        <v>4</v>
      </c>
      <c r="C12" s="96">
        <v>0.99</v>
      </c>
      <c r="D12" s="73"/>
      <c r="E12" s="73"/>
      <c r="F12" s="90">
        <f t="shared" si="1"/>
        <v>-28.299999999999997</v>
      </c>
      <c r="G12" s="80">
        <f t="shared" si="0"/>
        <v>3.43466971519365E-5</v>
      </c>
      <c r="H12" s="73"/>
      <c r="I12" s="73"/>
      <c r="J12" s="73"/>
      <c r="K12" s="73"/>
      <c r="L12" s="73"/>
      <c r="M12" s="73"/>
      <c r="N12" s="73"/>
      <c r="O12" s="73"/>
      <c r="P12" s="73"/>
    </row>
    <row r="13" spans="1:16" ht="15" thickBot="1" x14ac:dyDescent="0.35">
      <c r="A13" s="73"/>
      <c r="B13" s="73"/>
      <c r="C13" s="73"/>
      <c r="D13" s="73"/>
      <c r="E13" s="73"/>
      <c r="F13" s="90">
        <f t="shared" si="1"/>
        <v>-27.449999999999996</v>
      </c>
      <c r="G13" s="80">
        <f t="shared" si="0"/>
        <v>4.9974149476559161E-5</v>
      </c>
      <c r="H13" s="73"/>
      <c r="I13" s="73"/>
      <c r="J13" s="73"/>
      <c r="K13" s="73"/>
      <c r="L13" s="73"/>
      <c r="M13" s="73"/>
      <c r="N13" s="73"/>
      <c r="O13" s="73"/>
      <c r="P13" s="73"/>
    </row>
    <row r="14" spans="1:16" ht="15" thickBot="1" x14ac:dyDescent="0.35">
      <c r="A14" s="73"/>
      <c r="B14" s="172" t="s">
        <v>1</v>
      </c>
      <c r="C14" s="173"/>
      <c r="D14" s="73"/>
      <c r="E14" s="73"/>
      <c r="F14" s="90">
        <f t="shared" si="1"/>
        <v>-26.599999999999994</v>
      </c>
      <c r="G14" s="80">
        <f t="shared" si="0"/>
        <v>7.1988462366326367E-5</v>
      </c>
      <c r="H14" s="73"/>
      <c r="I14" s="73"/>
      <c r="J14" s="73"/>
      <c r="K14" s="73"/>
      <c r="L14" s="73"/>
      <c r="M14" s="73"/>
      <c r="N14" s="73"/>
      <c r="O14" s="73"/>
      <c r="P14" s="73"/>
    </row>
    <row r="15" spans="1:16" ht="14.4" x14ac:dyDescent="0.3">
      <c r="A15" s="73"/>
      <c r="B15" s="89" t="s">
        <v>26</v>
      </c>
      <c r="C15" s="97">
        <f>Mu*NORMSDIST(Mu/Sigma)+Sigma*NORMDIST(Mu/Sigma,0,1,FALSE)</f>
        <v>5.7597057545720194</v>
      </c>
      <c r="D15" s="73"/>
      <c r="E15" s="73"/>
      <c r="F15" s="90">
        <f t="shared" si="1"/>
        <v>-25.749999999999993</v>
      </c>
      <c r="G15" s="80">
        <f t="shared" si="0"/>
        <v>1.0266855235832508E-4</v>
      </c>
      <c r="H15" s="73"/>
      <c r="I15" s="73"/>
      <c r="J15" s="73"/>
      <c r="K15" s="73"/>
      <c r="L15" s="73"/>
      <c r="M15" s="73"/>
      <c r="N15" s="73"/>
      <c r="O15" s="73"/>
      <c r="P15" s="73"/>
    </row>
    <row r="16" spans="1:16" ht="14.4" x14ac:dyDescent="0.3">
      <c r="A16" s="73"/>
      <c r="B16" s="92" t="s">
        <v>27</v>
      </c>
      <c r="C16" s="98">
        <f>Mu*NORMSDIST(-Mu/Sigma)-Sigma*NORMDIST(-Mu/Sigma,0,1,FALSE)</f>
        <v>-1.7597057545720194</v>
      </c>
      <c r="D16" s="73"/>
      <c r="E16" s="73"/>
      <c r="F16" s="90">
        <f t="shared" si="1"/>
        <v>-24.899999999999991</v>
      </c>
      <c r="G16" s="80">
        <f t="shared" si="0"/>
        <v>1.4496696099682626E-4</v>
      </c>
      <c r="H16" s="73"/>
      <c r="I16" s="73"/>
      <c r="J16" s="73"/>
      <c r="K16" s="73"/>
      <c r="L16" s="73"/>
      <c r="M16" s="73"/>
      <c r="N16" s="73"/>
      <c r="O16" s="73"/>
      <c r="P16" s="73"/>
    </row>
    <row r="17" spans="1:16" ht="14.4" x14ac:dyDescent="0.3">
      <c r="A17" s="73"/>
      <c r="B17" s="92" t="str">
        <f>"PFE "&amp;TEXT(Alpha,"0%")</f>
        <v>PFE 99%</v>
      </c>
      <c r="C17" s="98">
        <f>Mu+NORMSINV(Alpha)*Sigma</f>
        <v>23.773956929347147</v>
      </c>
      <c r="D17" s="73"/>
      <c r="E17" s="73"/>
      <c r="F17" s="90">
        <f t="shared" si="1"/>
        <v>-24.04999999999999</v>
      </c>
      <c r="G17" s="80">
        <f t="shared" si="0"/>
        <v>2.0265516930043363E-4</v>
      </c>
      <c r="H17" s="73"/>
      <c r="I17" s="73"/>
      <c r="J17" s="73"/>
      <c r="K17" s="73"/>
      <c r="L17" s="73"/>
      <c r="M17" s="73"/>
      <c r="N17" s="73"/>
      <c r="O17" s="73"/>
      <c r="P17" s="73"/>
    </row>
    <row r="18" spans="1:16" ht="15" thickBot="1" x14ac:dyDescent="0.35">
      <c r="A18" s="73"/>
      <c r="B18" s="93" t="str">
        <f>"PFE "&amp;TEXT(1-Alpha,"0%")</f>
        <v>PFE 1%</v>
      </c>
      <c r="C18" s="99">
        <f>Mu-NORMSINV(Alpha)*Sigma</f>
        <v>-15.773956929347147</v>
      </c>
      <c r="D18" s="73"/>
      <c r="E18" s="73"/>
      <c r="F18" s="90">
        <f t="shared" si="1"/>
        <v>-23.199999999999989</v>
      </c>
      <c r="G18" s="80">
        <f t="shared" si="0"/>
        <v>2.804809648782178E-4</v>
      </c>
      <c r="H18" s="73"/>
      <c r="I18" s="73"/>
      <c r="J18" s="73"/>
      <c r="K18" s="73"/>
      <c r="L18" s="73"/>
      <c r="M18" s="73"/>
      <c r="N18" s="73"/>
      <c r="O18" s="73"/>
      <c r="P18" s="73"/>
    </row>
    <row r="19" spans="1:16" ht="14.4" x14ac:dyDescent="0.3">
      <c r="A19" s="73"/>
      <c r="B19" s="73"/>
      <c r="C19" s="73"/>
      <c r="D19" s="73"/>
      <c r="E19" s="73"/>
      <c r="F19" s="90">
        <f t="shared" si="1"/>
        <v>-22.349999999999987</v>
      </c>
      <c r="G19" s="80">
        <f t="shared" si="0"/>
        <v>3.8433165367058106E-4</v>
      </c>
      <c r="H19" s="73"/>
      <c r="I19" s="73"/>
      <c r="J19" s="73"/>
      <c r="K19" s="73"/>
      <c r="L19" s="73"/>
      <c r="M19" s="73"/>
      <c r="N19" s="73"/>
      <c r="O19" s="73"/>
      <c r="P19" s="73"/>
    </row>
    <row r="20" spans="1:16" ht="14.4" x14ac:dyDescent="0.3">
      <c r="A20" s="73"/>
      <c r="B20" s="73"/>
      <c r="C20" s="73"/>
      <c r="D20" s="73"/>
      <c r="E20" s="73"/>
      <c r="F20" s="90">
        <f t="shared" si="1"/>
        <v>-21.499999999999986</v>
      </c>
      <c r="G20" s="80">
        <f t="shared" si="0"/>
        <v>5.2139393081623896E-4</v>
      </c>
      <c r="H20" s="73"/>
      <c r="I20" s="73"/>
      <c r="J20" s="73"/>
      <c r="K20" s="73"/>
      <c r="L20" s="73"/>
      <c r="M20" s="73"/>
      <c r="N20" s="73"/>
      <c r="O20" s="73"/>
      <c r="P20" s="73"/>
    </row>
    <row r="21" spans="1:16" ht="14.4" x14ac:dyDescent="0.3">
      <c r="A21" s="73"/>
      <c r="B21" s="73" t="s">
        <v>65</v>
      </c>
      <c r="C21" s="73"/>
      <c r="D21" s="73"/>
      <c r="E21" s="73"/>
      <c r="F21" s="90">
        <f t="shared" si="1"/>
        <v>-20.649999999999984</v>
      </c>
      <c r="G21" s="80">
        <f t="shared" si="0"/>
        <v>7.0029793173833948E-4</v>
      </c>
      <c r="H21" s="73"/>
      <c r="I21" s="73"/>
      <c r="J21" s="73"/>
      <c r="K21" s="73"/>
      <c r="L21" s="73"/>
      <c r="M21" s="73"/>
      <c r="N21" s="73"/>
      <c r="O21" s="73"/>
      <c r="P21" s="73"/>
    </row>
    <row r="22" spans="1:16" ht="14.4" x14ac:dyDescent="0.3">
      <c r="A22" s="73"/>
      <c r="B22" s="73" t="s">
        <v>66</v>
      </c>
      <c r="C22" s="73"/>
      <c r="D22" s="73"/>
      <c r="E22" s="73"/>
      <c r="F22" s="90">
        <f t="shared" si="1"/>
        <v>-19.799999999999983</v>
      </c>
      <c r="G22" s="80">
        <f t="shared" si="0"/>
        <v>9.3122959799764782E-4</v>
      </c>
      <c r="H22" s="73"/>
      <c r="I22" s="73"/>
      <c r="J22" s="73"/>
      <c r="K22" s="73"/>
      <c r="L22" s="73"/>
      <c r="M22" s="73"/>
      <c r="N22" s="73"/>
      <c r="O22" s="73"/>
      <c r="P22" s="73"/>
    </row>
    <row r="23" spans="1:16" ht="14.4" x14ac:dyDescent="0.3">
      <c r="A23" s="73"/>
      <c r="B23" s="73" t="s">
        <v>67</v>
      </c>
      <c r="C23" s="73"/>
      <c r="D23" s="73"/>
      <c r="E23" s="73"/>
      <c r="F23" s="90">
        <f t="shared" si="1"/>
        <v>-18.949999999999982</v>
      </c>
      <c r="G23" s="80">
        <f t="shared" si="0"/>
        <v>1.225992331108547E-3</v>
      </c>
      <c r="H23" s="73"/>
      <c r="I23" s="73"/>
      <c r="J23" s="73"/>
      <c r="K23" s="73"/>
      <c r="L23" s="73"/>
      <c r="M23" s="73"/>
      <c r="N23" s="73"/>
      <c r="O23" s="73"/>
      <c r="P23" s="73"/>
    </row>
    <row r="24" spans="1:16" ht="14.4" x14ac:dyDescent="0.3">
      <c r="A24" s="73"/>
      <c r="B24" s="73" t="s">
        <v>68</v>
      </c>
      <c r="C24" s="73"/>
      <c r="D24" s="73"/>
      <c r="E24" s="73"/>
      <c r="F24" s="90">
        <f t="shared" si="1"/>
        <v>-18.09999999999998</v>
      </c>
      <c r="G24" s="80">
        <f t="shared" si="0"/>
        <v>1.5979963804336108E-3</v>
      </c>
      <c r="H24" s="73"/>
      <c r="I24" s="73"/>
      <c r="J24" s="73"/>
      <c r="K24" s="73"/>
      <c r="L24" s="73"/>
      <c r="M24" s="73"/>
      <c r="N24" s="73"/>
      <c r="O24" s="73"/>
      <c r="P24" s="73"/>
    </row>
    <row r="25" spans="1:16" ht="14.4" x14ac:dyDescent="0.3">
      <c r="A25" s="73"/>
      <c r="B25" s="73"/>
      <c r="C25" s="73"/>
      <c r="D25" s="73"/>
      <c r="E25" s="73"/>
      <c r="F25" s="90">
        <f t="shared" si="1"/>
        <v>-17.249999999999979</v>
      </c>
      <c r="G25" s="80">
        <f t="shared" si="0"/>
        <v>2.062152999243371E-3</v>
      </c>
      <c r="H25" s="73"/>
      <c r="I25" s="73"/>
      <c r="J25" s="73"/>
      <c r="K25" s="73"/>
      <c r="L25" s="73"/>
      <c r="M25" s="73"/>
      <c r="N25" s="73"/>
      <c r="O25" s="73"/>
      <c r="P25" s="73"/>
    </row>
    <row r="26" spans="1:16" ht="14.4" x14ac:dyDescent="0.3">
      <c r="A26" s="73"/>
      <c r="B26" s="73"/>
      <c r="C26" s="73"/>
      <c r="D26" s="73"/>
      <c r="E26" s="73"/>
      <c r="F26" s="90">
        <f t="shared" si="1"/>
        <v>-16.399999999999977</v>
      </c>
      <c r="G26" s="80">
        <f t="shared" si="0"/>
        <v>2.6346506229227118E-3</v>
      </c>
      <c r="H26" s="73"/>
      <c r="I26" s="73"/>
      <c r="J26" s="73"/>
      <c r="K26" s="73"/>
      <c r="L26" s="73"/>
      <c r="M26" s="73"/>
      <c r="N26" s="73"/>
      <c r="O26" s="73"/>
      <c r="P26" s="73"/>
    </row>
    <row r="27" spans="1:16" ht="14.4" x14ac:dyDescent="0.3">
      <c r="A27" s="73"/>
      <c r="B27" s="73"/>
      <c r="C27" s="73"/>
      <c r="D27" s="73"/>
      <c r="E27" s="73"/>
      <c r="F27" s="90">
        <f t="shared" si="1"/>
        <v>-15.549999999999978</v>
      </c>
      <c r="G27" s="80">
        <f t="shared" si="0"/>
        <v>3.3325926754825133E-3</v>
      </c>
      <c r="H27" s="73"/>
      <c r="I27" s="73"/>
      <c r="J27" s="73"/>
      <c r="K27" s="73"/>
      <c r="L27" s="73"/>
      <c r="M27" s="73"/>
      <c r="N27" s="73"/>
      <c r="O27" s="73"/>
      <c r="P27" s="73"/>
    </row>
    <row r="28" spans="1:16" ht="14.4" x14ac:dyDescent="0.3">
      <c r="A28" s="73"/>
      <c r="B28" s="73"/>
      <c r="C28" s="73"/>
      <c r="D28" s="73"/>
      <c r="E28" s="73"/>
      <c r="F28" s="90">
        <f t="shared" si="1"/>
        <v>-14.699999999999978</v>
      </c>
      <c r="G28" s="80">
        <f t="shared" si="0"/>
        <v>4.1734815113213678E-3</v>
      </c>
      <c r="H28" s="73"/>
      <c r="I28" s="73"/>
      <c r="J28" s="73"/>
      <c r="K28" s="73"/>
      <c r="L28" s="73"/>
      <c r="M28" s="73"/>
      <c r="N28" s="73"/>
      <c r="O28" s="73"/>
      <c r="P28" s="73"/>
    </row>
    <row r="29" spans="1:16" ht="14.4" x14ac:dyDescent="0.3">
      <c r="A29" s="73"/>
      <c r="B29" s="73"/>
      <c r="C29" s="73"/>
      <c r="D29" s="73"/>
      <c r="E29" s="73"/>
      <c r="F29" s="90">
        <f t="shared" si="1"/>
        <v>-13.849999999999978</v>
      </c>
      <c r="G29" s="80">
        <f t="shared" si="0"/>
        <v>5.1745407035796928E-3</v>
      </c>
      <c r="H29" s="73"/>
      <c r="I29" s="73"/>
      <c r="J29" s="73"/>
      <c r="K29" s="73"/>
      <c r="L29" s="73"/>
      <c r="M29" s="73"/>
      <c r="N29" s="73"/>
      <c r="O29" s="73"/>
      <c r="P29" s="73"/>
    </row>
    <row r="30" spans="1:16" ht="14.4" x14ac:dyDescent="0.3">
      <c r="A30" s="73"/>
      <c r="B30" s="73"/>
      <c r="C30" s="73"/>
      <c r="D30" s="73"/>
      <c r="E30" s="73"/>
      <c r="F30" s="90">
        <f t="shared" si="1"/>
        <v>-12.999999999999979</v>
      </c>
      <c r="G30" s="80">
        <f t="shared" si="0"/>
        <v>6.3518784133162719E-3</v>
      </c>
      <c r="H30" s="73"/>
      <c r="I30" s="73"/>
      <c r="J30" s="73"/>
      <c r="K30" s="73"/>
      <c r="L30" s="73"/>
      <c r="M30" s="73"/>
      <c r="N30" s="73"/>
      <c r="O30" s="73"/>
      <c r="P30" s="73"/>
    </row>
    <row r="31" spans="1:16" ht="14.4" x14ac:dyDescent="0.3">
      <c r="A31" s="73"/>
      <c r="B31" s="73"/>
      <c r="C31" s="73"/>
      <c r="D31" s="73"/>
      <c r="E31" s="73"/>
      <c r="F31" s="90">
        <f t="shared" si="1"/>
        <v>-12.149999999999979</v>
      </c>
      <c r="G31" s="80">
        <f t="shared" si="0"/>
        <v>7.719507620550228E-3</v>
      </c>
      <c r="H31" s="73"/>
      <c r="I31" s="73"/>
      <c r="J31" s="73"/>
      <c r="K31" s="73"/>
      <c r="L31" s="73"/>
      <c r="M31" s="73"/>
      <c r="N31" s="73"/>
      <c r="O31" s="73"/>
      <c r="P31" s="73"/>
    </row>
    <row r="32" spans="1:16" ht="14.4" x14ac:dyDescent="0.3">
      <c r="A32" s="73"/>
      <c r="B32" s="73"/>
      <c r="C32" s="73"/>
      <c r="D32" s="73"/>
      <c r="E32" s="73"/>
      <c r="F32" s="90">
        <f t="shared" si="1"/>
        <v>-11.299999999999979</v>
      </c>
      <c r="G32" s="80">
        <f t="shared" si="0"/>
        <v>9.2882539177522958E-3</v>
      </c>
      <c r="H32" s="73"/>
      <c r="I32" s="73"/>
      <c r="J32" s="73"/>
      <c r="K32" s="73"/>
      <c r="L32" s="73"/>
      <c r="M32" s="73"/>
      <c r="N32" s="73"/>
      <c r="O32" s="73"/>
      <c r="P32" s="73"/>
    </row>
    <row r="33" spans="1:16" ht="14.4" x14ac:dyDescent="0.3">
      <c r="A33" s="73"/>
      <c r="B33" s="73"/>
      <c r="C33" s="73"/>
      <c r="D33" s="73"/>
      <c r="E33" s="73"/>
      <c r="F33" s="90">
        <f t="shared" si="1"/>
        <v>-10.44999999999998</v>
      </c>
      <c r="G33" s="80">
        <f t="shared" si="0"/>
        <v>1.1064597338457332E-2</v>
      </c>
      <c r="H33" s="73"/>
      <c r="I33" s="73"/>
      <c r="J33" s="73"/>
      <c r="K33" s="73"/>
      <c r="L33" s="73"/>
      <c r="M33" s="73"/>
      <c r="N33" s="73"/>
      <c r="O33" s="73"/>
      <c r="P33" s="73"/>
    </row>
    <row r="34" spans="1:16" ht="14.4" x14ac:dyDescent="0.3">
      <c r="A34" s="73"/>
      <c r="B34" s="73"/>
      <c r="C34" s="73"/>
      <c r="D34" s="73"/>
      <c r="E34" s="73"/>
      <c r="F34" s="90">
        <f t="shared" si="1"/>
        <v>-9.5999999999999801</v>
      </c>
      <c r="G34" s="80">
        <f t="shared" si="0"/>
        <v>1.3049509962288939E-2</v>
      </c>
      <c r="H34" s="73"/>
      <c r="I34" s="73"/>
      <c r="J34" s="73"/>
      <c r="K34" s="73"/>
      <c r="L34" s="73"/>
      <c r="M34" s="73"/>
      <c r="N34" s="73"/>
      <c r="O34" s="73"/>
      <c r="P34" s="73"/>
    </row>
    <row r="35" spans="1:16" ht="14.4" x14ac:dyDescent="0.3">
      <c r="A35" s="73"/>
      <c r="B35" s="73"/>
      <c r="C35" s="73"/>
      <c r="D35" s="73"/>
      <c r="E35" s="73"/>
      <c r="F35" s="90">
        <f t="shared" si="1"/>
        <v>-8.7499999999999805</v>
      </c>
      <c r="G35" s="80">
        <f t="shared" si="0"/>
        <v>1.5237364195987311E-2</v>
      </c>
      <c r="H35" s="73"/>
      <c r="I35" s="73"/>
      <c r="J35" s="73"/>
      <c r="K35" s="73"/>
      <c r="L35" s="73"/>
      <c r="M35" s="73"/>
      <c r="N35" s="73"/>
      <c r="O35" s="73"/>
      <c r="P35" s="73"/>
    </row>
    <row r="36" spans="1:16" ht="14.4" x14ac:dyDescent="0.3">
      <c r="A36" s="73"/>
      <c r="B36" s="73"/>
      <c r="C36" s="73"/>
      <c r="D36" s="73"/>
      <c r="E36" s="73"/>
      <c r="F36" s="90">
        <f t="shared" si="1"/>
        <v>-7.8999999999999808</v>
      </c>
      <c r="G36" s="80">
        <f t="shared" si="0"/>
        <v>1.7614995957146513E-2</v>
      </c>
      <c r="H36" s="73"/>
      <c r="I36" s="73"/>
      <c r="J36" s="73"/>
      <c r="K36" s="73"/>
      <c r="L36" s="73"/>
      <c r="M36" s="73"/>
      <c r="N36" s="73"/>
      <c r="O36" s="73"/>
      <c r="P36" s="73"/>
    </row>
    <row r="37" spans="1:16" ht="14.4" x14ac:dyDescent="0.3">
      <c r="A37" s="73"/>
      <c r="B37" s="73"/>
      <c r="C37" s="73"/>
      <c r="D37" s="73"/>
      <c r="E37" s="73"/>
      <c r="F37" s="90">
        <f t="shared" si="1"/>
        <v>-7.0499999999999812</v>
      </c>
      <c r="G37" s="80">
        <f t="shared" si="0"/>
        <v>2.0161010829153864E-2</v>
      </c>
      <c r="H37" s="73"/>
      <c r="I37" s="73"/>
      <c r="J37" s="73"/>
      <c r="K37" s="73"/>
      <c r="L37" s="73"/>
      <c r="M37" s="73"/>
      <c r="N37" s="73"/>
      <c r="O37" s="73"/>
      <c r="P37" s="73"/>
    </row>
    <row r="38" spans="1:16" ht="14.4" x14ac:dyDescent="0.3">
      <c r="A38" s="73"/>
      <c r="B38" s="73"/>
      <c r="C38" s="73"/>
      <c r="D38" s="73"/>
      <c r="E38" s="73"/>
      <c r="F38" s="90">
        <f t="shared" si="1"/>
        <v>-6.1999999999999815</v>
      </c>
      <c r="G38" s="80">
        <f t="shared" si="0"/>
        <v>2.2845418233319235E-2</v>
      </c>
      <c r="H38" s="73"/>
      <c r="I38" s="73"/>
      <c r="J38" s="73"/>
      <c r="K38" s="73"/>
      <c r="L38" s="73"/>
      <c r="M38" s="73"/>
      <c r="N38" s="73"/>
      <c r="O38" s="73"/>
      <c r="P38" s="73"/>
    </row>
    <row r="39" spans="1:16" ht="14.4" x14ac:dyDescent="0.3">
      <c r="A39" s="73"/>
      <c r="B39" s="73"/>
      <c r="C39" s="73"/>
      <c r="D39" s="73"/>
      <c r="E39" s="73"/>
      <c r="F39" s="90">
        <f t="shared" si="1"/>
        <v>-5.3499999999999819</v>
      </c>
      <c r="G39" s="80">
        <f t="shared" si="0"/>
        <v>2.562966788618248E-2</v>
      </c>
      <c r="H39" s="73"/>
      <c r="I39" s="73"/>
      <c r="J39" s="73"/>
      <c r="K39" s="73"/>
      <c r="L39" s="73"/>
      <c r="M39" s="73"/>
      <c r="N39" s="73"/>
      <c r="O39" s="73"/>
      <c r="P39" s="73"/>
    </row>
    <row r="40" spans="1:16" ht="14.4" x14ac:dyDescent="0.3">
      <c r="A40" s="73"/>
      <c r="B40" s="73"/>
      <c r="C40" s="73"/>
      <c r="D40" s="73"/>
      <c r="E40" s="73"/>
      <c r="F40" s="90">
        <f t="shared" si="1"/>
        <v>-4.4999999999999822</v>
      </c>
      <c r="G40" s="80">
        <f t="shared" si="0"/>
        <v>2.8467144061075752E-2</v>
      </c>
      <c r="H40" s="73"/>
      <c r="I40" s="73"/>
      <c r="J40" s="73"/>
      <c r="K40" s="73"/>
      <c r="L40" s="73"/>
      <c r="M40" s="73"/>
      <c r="N40" s="73"/>
      <c r="O40" s="73"/>
      <c r="P40" s="73"/>
    </row>
    <row r="41" spans="1:16" ht="14.4" x14ac:dyDescent="0.3">
      <c r="A41" s="73"/>
      <c r="B41" s="73"/>
      <c r="C41" s="73"/>
      <c r="D41" s="73"/>
      <c r="E41" s="73"/>
      <c r="F41" s="90">
        <f t="shared" si="1"/>
        <v>-3.6499999999999821</v>
      </c>
      <c r="G41" s="80">
        <f t="shared" si="0"/>
        <v>3.1304147046912388E-2</v>
      </c>
      <c r="H41" s="73"/>
      <c r="I41" s="73"/>
      <c r="J41" s="73"/>
      <c r="K41" s="73"/>
      <c r="L41" s="73"/>
      <c r="M41" s="73"/>
      <c r="N41" s="73"/>
      <c r="O41" s="73"/>
      <c r="P41" s="73"/>
    </row>
    <row r="42" spans="1:16" ht="14.4" x14ac:dyDescent="0.3">
      <c r="A42" s="73"/>
      <c r="B42" s="73"/>
      <c r="C42" s="73"/>
      <c r="D42" s="73"/>
      <c r="E42" s="73"/>
      <c r="F42" s="90">
        <f t="shared" si="1"/>
        <v>-2.7999999999999821</v>
      </c>
      <c r="G42" s="80">
        <f t="shared" ref="G42:G73" si="2">NORMDIST(F42,Mu,Sigma,FALSE)</f>
        <v>3.408135914840979E-2</v>
      </c>
      <c r="H42" s="73"/>
      <c r="I42" s="73"/>
      <c r="J42" s="73"/>
      <c r="K42" s="73"/>
      <c r="L42" s="73"/>
      <c r="M42" s="73"/>
      <c r="N42" s="73"/>
      <c r="O42" s="73"/>
      <c r="P42" s="73"/>
    </row>
    <row r="43" spans="1:16" ht="14.4" x14ac:dyDescent="0.3">
      <c r="A43" s="73"/>
      <c r="B43" s="73"/>
      <c r="C43" s="73"/>
      <c r="D43" s="73"/>
      <c r="E43" s="73"/>
      <c r="F43" s="90">
        <f t="shared" ref="F43:F74" si="3">F42+Sigma/10</f>
        <v>-1.949999999999982</v>
      </c>
      <c r="G43" s="80">
        <f t="shared" si="2"/>
        <v>3.6735756866677849E-2</v>
      </c>
      <c r="H43" s="73"/>
      <c r="I43" s="73"/>
      <c r="J43" s="73"/>
      <c r="K43" s="73"/>
      <c r="L43" s="73"/>
      <c r="M43" s="73"/>
      <c r="N43" s="73"/>
      <c r="O43" s="73"/>
      <c r="P43" s="73"/>
    </row>
    <row r="44" spans="1:16" ht="14.4" x14ac:dyDescent="0.3">
      <c r="A44" s="73"/>
      <c r="B44" s="73"/>
      <c r="C44" s="73"/>
      <c r="D44" s="73"/>
      <c r="E44" s="73"/>
      <c r="F44" s="90">
        <f t="shared" si="3"/>
        <v>-1.0999999999999819</v>
      </c>
      <c r="G44" s="80">
        <f t="shared" si="2"/>
        <v>3.9202894457858836E-2</v>
      </c>
      <c r="H44" s="73"/>
      <c r="I44" s="73"/>
      <c r="J44" s="73"/>
      <c r="K44" s="73"/>
      <c r="L44" s="73"/>
      <c r="M44" s="73"/>
      <c r="N44" s="73"/>
      <c r="O44" s="73"/>
      <c r="P44" s="73"/>
    </row>
    <row r="45" spans="1:16" ht="14.4" x14ac:dyDescent="0.3">
      <c r="A45" s="73"/>
      <c r="B45" s="73"/>
      <c r="C45" s="73"/>
      <c r="D45" s="73"/>
      <c r="E45" s="73"/>
      <c r="F45" s="90">
        <f t="shared" si="3"/>
        <v>-0.2499999999999819</v>
      </c>
      <c r="G45" s="80">
        <f t="shared" si="2"/>
        <v>4.1419450207564691E-2</v>
      </c>
      <c r="H45" s="73"/>
      <c r="I45" s="73"/>
      <c r="J45" s="73"/>
      <c r="K45" s="73"/>
      <c r="L45" s="73"/>
      <c r="M45" s="73"/>
      <c r="N45" s="73"/>
      <c r="O45" s="73"/>
      <c r="P45" s="73"/>
    </row>
    <row r="46" spans="1:16" ht="14.4" x14ac:dyDescent="0.3">
      <c r="A46" s="73"/>
      <c r="B46" s="73"/>
      <c r="C46" s="73"/>
      <c r="D46" s="73"/>
      <c r="E46" s="73"/>
      <c r="F46" s="90">
        <f t="shared" si="3"/>
        <v>0.60000000000001807</v>
      </c>
      <c r="G46" s="80">
        <f t="shared" si="2"/>
        <v>4.3325898859214541E-2</v>
      </c>
      <c r="H46" s="73"/>
      <c r="I46" s="73"/>
      <c r="J46" s="73"/>
      <c r="K46" s="73"/>
      <c r="L46" s="73"/>
      <c r="M46" s="73"/>
      <c r="N46" s="73"/>
      <c r="O46" s="73"/>
      <c r="P46" s="73"/>
    </row>
    <row r="47" spans="1:16" ht="14.4" x14ac:dyDescent="0.3">
      <c r="A47" s="73"/>
      <c r="B47" s="73"/>
      <c r="C47" s="73"/>
      <c r="D47" s="73"/>
      <c r="E47" s="73"/>
      <c r="F47" s="90">
        <f t="shared" si="3"/>
        <v>1.4500000000000179</v>
      </c>
      <c r="G47" s="80">
        <f t="shared" si="2"/>
        <v>4.4869154760061689E-2</v>
      </c>
      <c r="H47" s="73"/>
      <c r="I47" s="73"/>
      <c r="J47" s="73"/>
      <c r="K47" s="73"/>
      <c r="L47" s="73"/>
      <c r="M47" s="73"/>
      <c r="N47" s="73"/>
      <c r="O47" s="73"/>
      <c r="P47" s="73"/>
    </row>
    <row r="48" spans="1:16" ht="14.4" x14ac:dyDescent="0.3">
      <c r="A48" s="73"/>
      <c r="B48" s="73"/>
      <c r="C48" s="73"/>
      <c r="D48" s="73"/>
      <c r="E48" s="73"/>
      <c r="F48" s="90">
        <f t="shared" si="3"/>
        <v>2.300000000000018</v>
      </c>
      <c r="G48" s="80">
        <f t="shared" si="2"/>
        <v>4.6005022820641887E-2</v>
      </c>
      <c r="H48" s="73"/>
      <c r="I48" s="73"/>
      <c r="J48" s="73"/>
      <c r="K48" s="73"/>
      <c r="L48" s="73"/>
      <c r="M48" s="73"/>
      <c r="N48" s="73"/>
      <c r="O48" s="73"/>
      <c r="P48" s="73"/>
    </row>
    <row r="49" spans="1:16" ht="14.4" x14ac:dyDescent="0.3">
      <c r="A49" s="73"/>
      <c r="B49" s="73"/>
      <c r="C49" s="73"/>
      <c r="D49" s="73"/>
      <c r="E49" s="73"/>
      <c r="F49" s="90">
        <f t="shared" si="3"/>
        <v>3.1500000000000181</v>
      </c>
      <c r="G49" s="80">
        <f t="shared" si="2"/>
        <v>4.6700299703177864E-2</v>
      </c>
      <c r="H49" s="73"/>
      <c r="I49" s="73"/>
      <c r="J49" s="73"/>
      <c r="K49" s="73"/>
      <c r="L49" s="73"/>
      <c r="M49" s="73"/>
      <c r="N49" s="73"/>
      <c r="O49" s="73"/>
      <c r="P49" s="73"/>
    </row>
    <row r="50" spans="1:16" ht="14.4" x14ac:dyDescent="0.3">
      <c r="A50" s="73"/>
      <c r="B50" s="73"/>
      <c r="C50" s="73"/>
      <c r="D50" s="73"/>
      <c r="E50" s="73"/>
      <c r="F50" s="90">
        <f t="shared" si="3"/>
        <v>4.0000000000000178</v>
      </c>
      <c r="G50" s="80">
        <f t="shared" si="2"/>
        <v>4.6934385929580318E-2</v>
      </c>
      <c r="H50" s="73"/>
      <c r="I50" s="73"/>
      <c r="J50" s="73"/>
      <c r="K50" s="73"/>
      <c r="L50" s="73"/>
      <c r="M50" s="73"/>
      <c r="N50" s="73"/>
      <c r="O50" s="73"/>
      <c r="P50" s="73"/>
    </row>
    <row r="51" spans="1:16" ht="14.4" x14ac:dyDescent="0.3">
      <c r="A51" s="73"/>
      <c r="B51" s="73"/>
      <c r="C51" s="73"/>
      <c r="D51" s="73"/>
      <c r="E51" s="73"/>
      <c r="F51" s="90">
        <f t="shared" si="3"/>
        <v>4.8500000000000174</v>
      </c>
      <c r="G51" s="80">
        <f t="shared" si="2"/>
        <v>4.670029970317785E-2</v>
      </c>
      <c r="H51" s="73"/>
      <c r="I51" s="73"/>
      <c r="J51" s="73"/>
      <c r="K51" s="73"/>
      <c r="L51" s="73"/>
      <c r="M51" s="73"/>
      <c r="N51" s="73"/>
      <c r="O51" s="73"/>
      <c r="P51" s="73"/>
    </row>
    <row r="52" spans="1:16" ht="14.4" x14ac:dyDescent="0.3">
      <c r="A52" s="73"/>
      <c r="B52" s="73"/>
      <c r="C52" s="73"/>
      <c r="D52" s="73"/>
      <c r="E52" s="73"/>
      <c r="F52" s="90">
        <f t="shared" si="3"/>
        <v>5.7000000000000171</v>
      </c>
      <c r="G52" s="80">
        <f t="shared" si="2"/>
        <v>4.6005022820641853E-2</v>
      </c>
      <c r="H52" s="73"/>
      <c r="I52" s="73"/>
      <c r="J52" s="73"/>
      <c r="K52" s="73"/>
      <c r="L52" s="73"/>
      <c r="M52" s="73"/>
      <c r="N52" s="73"/>
      <c r="O52" s="73"/>
      <c r="P52" s="73"/>
    </row>
    <row r="53" spans="1:16" ht="14.4" x14ac:dyDescent="0.3">
      <c r="A53" s="73"/>
      <c r="B53" s="73"/>
      <c r="C53" s="73"/>
      <c r="D53" s="73"/>
      <c r="E53" s="73"/>
      <c r="F53" s="90">
        <f t="shared" si="3"/>
        <v>6.5500000000000167</v>
      </c>
      <c r="G53" s="80">
        <f t="shared" si="2"/>
        <v>4.4869154760061633E-2</v>
      </c>
      <c r="H53" s="73"/>
      <c r="I53" s="73"/>
      <c r="J53" s="73"/>
      <c r="K53" s="73"/>
      <c r="L53" s="73"/>
      <c r="M53" s="73"/>
      <c r="N53" s="73"/>
      <c r="O53" s="73"/>
      <c r="P53" s="73"/>
    </row>
    <row r="54" spans="1:16" ht="14.4" x14ac:dyDescent="0.3">
      <c r="A54" s="73"/>
      <c r="B54" s="73"/>
      <c r="C54" s="73"/>
      <c r="D54" s="73"/>
      <c r="E54" s="73"/>
      <c r="F54" s="90">
        <f t="shared" si="3"/>
        <v>7.4000000000000163</v>
      </c>
      <c r="G54" s="80">
        <f t="shared" si="2"/>
        <v>4.3325898859214479E-2</v>
      </c>
      <c r="H54" s="73"/>
      <c r="I54" s="73"/>
      <c r="J54" s="73"/>
      <c r="K54" s="73"/>
      <c r="L54" s="73"/>
      <c r="M54" s="73"/>
      <c r="N54" s="73"/>
      <c r="O54" s="73"/>
      <c r="P54" s="73"/>
    </row>
    <row r="55" spans="1:16" ht="14.4" x14ac:dyDescent="0.3">
      <c r="A55" s="73"/>
      <c r="B55" s="73"/>
      <c r="C55" s="73"/>
      <c r="D55" s="73"/>
      <c r="E55" s="73"/>
      <c r="F55" s="90">
        <f t="shared" si="3"/>
        <v>8.250000000000016</v>
      </c>
      <c r="G55" s="80">
        <f t="shared" si="2"/>
        <v>4.1419450207564608E-2</v>
      </c>
      <c r="H55" s="73"/>
      <c r="I55" s="73"/>
      <c r="J55" s="73"/>
      <c r="K55" s="73"/>
      <c r="L55" s="73"/>
      <c r="M55" s="73"/>
      <c r="N55" s="73"/>
      <c r="O55" s="73"/>
      <c r="P55" s="73"/>
    </row>
    <row r="56" spans="1:16" ht="14.4" x14ac:dyDescent="0.3">
      <c r="A56" s="73"/>
      <c r="B56" s="73"/>
      <c r="C56" s="73"/>
      <c r="D56" s="73"/>
      <c r="E56" s="73"/>
      <c r="F56" s="90">
        <f t="shared" si="3"/>
        <v>9.1000000000000156</v>
      </c>
      <c r="G56" s="80">
        <f t="shared" si="2"/>
        <v>3.9202894457858746E-2</v>
      </c>
      <c r="H56" s="73"/>
      <c r="I56" s="73"/>
      <c r="J56" s="73"/>
      <c r="K56" s="73"/>
      <c r="L56" s="73"/>
      <c r="M56" s="73"/>
      <c r="N56" s="73"/>
      <c r="O56" s="73"/>
      <c r="P56" s="73"/>
    </row>
    <row r="57" spans="1:16" ht="14.4" x14ac:dyDescent="0.3">
      <c r="A57" s="73"/>
      <c r="B57" s="73"/>
      <c r="C57" s="73"/>
      <c r="D57" s="73"/>
      <c r="E57" s="73"/>
      <c r="F57" s="90">
        <f t="shared" si="3"/>
        <v>9.9500000000000153</v>
      </c>
      <c r="G57" s="80">
        <f t="shared" si="2"/>
        <v>3.6735756866677752E-2</v>
      </c>
      <c r="H57" s="73"/>
      <c r="I57" s="73"/>
      <c r="J57" s="73"/>
      <c r="K57" s="73"/>
      <c r="L57" s="73"/>
      <c r="M57" s="73"/>
      <c r="N57" s="73"/>
      <c r="O57" s="73"/>
      <c r="P57" s="73"/>
    </row>
    <row r="58" spans="1:16" ht="14.4" x14ac:dyDescent="0.3">
      <c r="A58" s="73"/>
      <c r="B58" s="73"/>
      <c r="C58" s="73"/>
      <c r="D58" s="73"/>
      <c r="E58" s="73"/>
      <c r="F58" s="90">
        <f t="shared" si="3"/>
        <v>10.800000000000015</v>
      </c>
      <c r="G58" s="80">
        <f t="shared" si="2"/>
        <v>3.4081359148409686E-2</v>
      </c>
      <c r="H58" s="73"/>
      <c r="I58" s="73"/>
      <c r="J58" s="73"/>
      <c r="K58" s="73"/>
      <c r="L58" s="73"/>
      <c r="M58" s="73"/>
      <c r="N58" s="73"/>
      <c r="O58" s="73"/>
      <c r="P58" s="73"/>
    </row>
    <row r="59" spans="1:16" ht="14.4" x14ac:dyDescent="0.3">
      <c r="A59" s="73"/>
      <c r="B59" s="73"/>
      <c r="C59" s="73"/>
      <c r="D59" s="73"/>
      <c r="E59" s="73"/>
      <c r="F59" s="90">
        <f t="shared" si="3"/>
        <v>11.650000000000015</v>
      </c>
      <c r="G59" s="80">
        <f t="shared" si="2"/>
        <v>3.1304147046912284E-2</v>
      </c>
      <c r="H59" s="73"/>
      <c r="I59" s="73"/>
      <c r="J59" s="73"/>
      <c r="K59" s="73"/>
      <c r="L59" s="73"/>
      <c r="M59" s="73"/>
      <c r="N59" s="73"/>
      <c r="O59" s="73"/>
      <c r="P59" s="73"/>
    </row>
    <row r="60" spans="1:16" ht="14.4" x14ac:dyDescent="0.3">
      <c r="A60" s="73"/>
      <c r="B60" s="73"/>
      <c r="C60" s="73"/>
      <c r="D60" s="73"/>
      <c r="E60" s="73"/>
      <c r="F60" s="90">
        <f t="shared" si="3"/>
        <v>12.500000000000014</v>
      </c>
      <c r="G60" s="80">
        <f t="shared" si="2"/>
        <v>2.8467144061075637E-2</v>
      </c>
      <c r="H60" s="73"/>
      <c r="I60" s="73"/>
      <c r="J60" s="73"/>
      <c r="K60" s="73"/>
      <c r="L60" s="73"/>
      <c r="M60" s="73"/>
      <c r="N60" s="73"/>
      <c r="O60" s="73"/>
      <c r="P60" s="73"/>
    </row>
    <row r="61" spans="1:16" ht="14.4" x14ac:dyDescent="0.3">
      <c r="A61" s="73"/>
      <c r="B61" s="73"/>
      <c r="C61" s="73"/>
      <c r="D61" s="73"/>
      <c r="E61" s="73"/>
      <c r="F61" s="90">
        <f t="shared" si="3"/>
        <v>13.350000000000014</v>
      </c>
      <c r="G61" s="80">
        <f t="shared" si="2"/>
        <v>2.5629667886182369E-2</v>
      </c>
      <c r="H61" s="73"/>
      <c r="I61" s="73"/>
      <c r="J61" s="73"/>
      <c r="K61" s="73"/>
      <c r="L61" s="73"/>
      <c r="M61" s="73"/>
      <c r="N61" s="73"/>
      <c r="O61" s="73"/>
      <c r="P61" s="73"/>
    </row>
    <row r="62" spans="1:16" ht="14.4" x14ac:dyDescent="0.3">
      <c r="A62" s="73"/>
      <c r="B62" s="73"/>
      <c r="C62" s="73"/>
      <c r="D62" s="73"/>
      <c r="E62" s="73"/>
      <c r="F62" s="90">
        <f t="shared" si="3"/>
        <v>14.200000000000014</v>
      </c>
      <c r="G62" s="80">
        <f t="shared" si="2"/>
        <v>2.2845418233319127E-2</v>
      </c>
      <c r="H62" s="73"/>
      <c r="I62" s="73"/>
      <c r="J62" s="73"/>
      <c r="K62" s="73"/>
      <c r="L62" s="73"/>
      <c r="M62" s="73"/>
      <c r="N62" s="73"/>
      <c r="O62" s="73"/>
      <c r="P62" s="73"/>
    </row>
    <row r="63" spans="1:16" ht="14.4" x14ac:dyDescent="0.3">
      <c r="A63" s="73"/>
      <c r="B63" s="73"/>
      <c r="C63" s="73"/>
      <c r="D63" s="73"/>
      <c r="E63" s="73"/>
      <c r="F63" s="90">
        <f t="shared" si="3"/>
        <v>15.050000000000013</v>
      </c>
      <c r="G63" s="80">
        <f t="shared" si="2"/>
        <v>2.0161010829153767E-2</v>
      </c>
      <c r="H63" s="73"/>
      <c r="I63" s="73"/>
      <c r="J63" s="73"/>
      <c r="K63" s="73"/>
      <c r="L63" s="73"/>
      <c r="M63" s="73"/>
      <c r="N63" s="73"/>
      <c r="O63" s="73"/>
      <c r="P63" s="73"/>
    </row>
    <row r="64" spans="1:16" ht="14.4" x14ac:dyDescent="0.3">
      <c r="A64" s="73"/>
      <c r="B64" s="73"/>
      <c r="C64" s="73"/>
      <c r="D64" s="73"/>
      <c r="E64" s="73"/>
      <c r="F64" s="90">
        <f t="shared" si="3"/>
        <v>15.900000000000013</v>
      </c>
      <c r="G64" s="80">
        <f t="shared" si="2"/>
        <v>1.7614995957146416E-2</v>
      </c>
      <c r="H64" s="73"/>
      <c r="I64" s="73"/>
      <c r="J64" s="73"/>
      <c r="K64" s="73"/>
      <c r="L64" s="73"/>
      <c r="M64" s="73"/>
      <c r="N64" s="73"/>
      <c r="O64" s="73"/>
      <c r="P64" s="73"/>
    </row>
    <row r="65" spans="1:16" ht="14.4" x14ac:dyDescent="0.3">
      <c r="A65" s="73"/>
      <c r="B65" s="73"/>
      <c r="C65" s="73"/>
      <c r="D65" s="73"/>
      <c r="E65" s="73"/>
      <c r="F65" s="90">
        <f t="shared" si="3"/>
        <v>16.750000000000014</v>
      </c>
      <c r="G65" s="80">
        <f t="shared" si="2"/>
        <v>1.5237364195987221E-2</v>
      </c>
      <c r="H65" s="73"/>
      <c r="I65" s="73"/>
      <c r="J65" s="73"/>
      <c r="K65" s="73"/>
      <c r="L65" s="73"/>
      <c r="M65" s="73"/>
      <c r="N65" s="73"/>
      <c r="O65" s="73"/>
      <c r="P65" s="73"/>
    </row>
    <row r="66" spans="1:16" ht="14.4" x14ac:dyDescent="0.3">
      <c r="A66" s="73"/>
      <c r="B66" s="73"/>
      <c r="C66" s="73"/>
      <c r="D66" s="73"/>
      <c r="E66" s="73"/>
      <c r="F66" s="90">
        <f t="shared" si="3"/>
        <v>17.600000000000016</v>
      </c>
      <c r="G66" s="80">
        <f t="shared" si="2"/>
        <v>1.304950996228885E-2</v>
      </c>
      <c r="H66" s="73"/>
      <c r="I66" s="73"/>
      <c r="J66" s="73"/>
      <c r="K66" s="73"/>
      <c r="L66" s="73"/>
      <c r="M66" s="73"/>
      <c r="N66" s="73"/>
      <c r="O66" s="73"/>
      <c r="P66" s="73"/>
    </row>
    <row r="67" spans="1:16" ht="14.4" x14ac:dyDescent="0.3">
      <c r="A67" s="73"/>
      <c r="B67" s="73"/>
      <c r="C67" s="73"/>
      <c r="D67" s="73"/>
      <c r="E67" s="73"/>
      <c r="F67" s="90">
        <f t="shared" si="3"/>
        <v>18.450000000000017</v>
      </c>
      <c r="G67" s="80">
        <f t="shared" si="2"/>
        <v>1.1064597338457249E-2</v>
      </c>
      <c r="H67" s="73"/>
      <c r="I67" s="73"/>
      <c r="J67" s="73"/>
      <c r="K67" s="73"/>
      <c r="L67" s="73"/>
      <c r="M67" s="73"/>
      <c r="N67" s="73"/>
      <c r="O67" s="73"/>
      <c r="P67" s="73"/>
    </row>
    <row r="68" spans="1:16" ht="14.4" x14ac:dyDescent="0.3">
      <c r="A68" s="73"/>
      <c r="B68" s="73"/>
      <c r="C68" s="73"/>
      <c r="D68" s="73"/>
      <c r="E68" s="73"/>
      <c r="F68" s="90">
        <f t="shared" si="3"/>
        <v>19.300000000000018</v>
      </c>
      <c r="G68" s="80">
        <f t="shared" si="2"/>
        <v>9.288253917752216E-3</v>
      </c>
      <c r="H68" s="73"/>
      <c r="I68" s="73"/>
      <c r="J68" s="73"/>
      <c r="K68" s="73"/>
      <c r="L68" s="73"/>
      <c r="M68" s="73"/>
      <c r="N68" s="73"/>
      <c r="O68" s="73"/>
      <c r="P68" s="73"/>
    </row>
    <row r="69" spans="1:16" ht="14.4" x14ac:dyDescent="0.3">
      <c r="A69" s="73"/>
      <c r="B69" s="73"/>
      <c r="C69" s="73"/>
      <c r="D69" s="73"/>
      <c r="E69" s="73"/>
      <c r="F69" s="90">
        <f t="shared" si="3"/>
        <v>20.15000000000002</v>
      </c>
      <c r="G69" s="80">
        <f t="shared" si="2"/>
        <v>7.7195076205501542E-3</v>
      </c>
      <c r="H69" s="73"/>
      <c r="I69" s="73"/>
      <c r="J69" s="73"/>
      <c r="K69" s="73"/>
      <c r="L69" s="73"/>
      <c r="M69" s="73"/>
      <c r="N69" s="73"/>
      <c r="O69" s="73"/>
      <c r="P69" s="73"/>
    </row>
    <row r="70" spans="1:16" ht="14.4" x14ac:dyDescent="0.3">
      <c r="A70" s="73"/>
      <c r="B70" s="73"/>
      <c r="C70" s="73"/>
      <c r="D70" s="73"/>
      <c r="E70" s="73"/>
      <c r="F70" s="90">
        <f t="shared" si="3"/>
        <v>21.000000000000021</v>
      </c>
      <c r="G70" s="80">
        <f t="shared" si="2"/>
        <v>6.3518784133162077E-3</v>
      </c>
      <c r="H70" s="73"/>
      <c r="I70" s="73"/>
      <c r="J70" s="73"/>
      <c r="K70" s="73"/>
      <c r="L70" s="73"/>
      <c r="M70" s="73"/>
      <c r="N70" s="73"/>
      <c r="O70" s="73"/>
      <c r="P70" s="73"/>
    </row>
    <row r="71" spans="1:16" ht="14.4" x14ac:dyDescent="0.3">
      <c r="A71" s="73"/>
      <c r="B71" s="73"/>
      <c r="C71" s="73"/>
      <c r="D71" s="73"/>
      <c r="E71" s="73"/>
      <c r="F71" s="90">
        <f t="shared" si="3"/>
        <v>21.850000000000023</v>
      </c>
      <c r="G71" s="80">
        <f t="shared" si="2"/>
        <v>5.1745407035796399E-3</v>
      </c>
      <c r="H71" s="73"/>
      <c r="I71" s="73"/>
      <c r="J71" s="73"/>
      <c r="K71" s="73"/>
      <c r="L71" s="73"/>
      <c r="M71" s="73"/>
      <c r="N71" s="73"/>
      <c r="O71" s="73"/>
      <c r="P71" s="73"/>
    </row>
    <row r="72" spans="1:16" ht="14.4" x14ac:dyDescent="0.3">
      <c r="A72" s="73"/>
      <c r="B72" s="73"/>
      <c r="C72" s="73"/>
      <c r="D72" s="73"/>
      <c r="E72" s="73"/>
      <c r="F72" s="90">
        <f t="shared" si="3"/>
        <v>22.700000000000024</v>
      </c>
      <c r="G72" s="80">
        <f t="shared" si="2"/>
        <v>4.1734815113213201E-3</v>
      </c>
      <c r="H72" s="73"/>
      <c r="I72" s="73"/>
      <c r="J72" s="73"/>
      <c r="K72" s="73"/>
      <c r="L72" s="73"/>
      <c r="M72" s="73"/>
      <c r="N72" s="73"/>
      <c r="O72" s="73"/>
      <c r="P72" s="73"/>
    </row>
    <row r="73" spans="1:16" ht="14.4" x14ac:dyDescent="0.3">
      <c r="A73" s="73"/>
      <c r="B73" s="73"/>
      <c r="C73" s="73"/>
      <c r="D73" s="73"/>
      <c r="E73" s="73"/>
      <c r="F73" s="90">
        <f t="shared" si="3"/>
        <v>23.550000000000026</v>
      </c>
      <c r="G73" s="80">
        <f t="shared" si="2"/>
        <v>3.3325926754824682E-3</v>
      </c>
      <c r="H73" s="73"/>
      <c r="I73" s="73"/>
      <c r="J73" s="73"/>
      <c r="K73" s="73"/>
      <c r="L73" s="73"/>
      <c r="M73" s="73"/>
      <c r="N73" s="73"/>
      <c r="O73" s="73"/>
      <c r="P73" s="73"/>
    </row>
    <row r="74" spans="1:16" ht="14.4" x14ac:dyDescent="0.3">
      <c r="A74" s="73"/>
      <c r="B74" s="73"/>
      <c r="C74" s="73"/>
      <c r="D74" s="73"/>
      <c r="E74" s="73"/>
      <c r="F74" s="90">
        <f t="shared" si="3"/>
        <v>24.400000000000027</v>
      </c>
      <c r="G74" s="80">
        <f t="shared" ref="G74:G95" si="4">NORMDIST(F74,Mu,Sigma,FALSE)</f>
        <v>2.634650622922674E-3</v>
      </c>
      <c r="H74" s="73"/>
      <c r="I74" s="73"/>
      <c r="J74" s="73"/>
      <c r="K74" s="73"/>
      <c r="L74" s="73"/>
      <c r="M74" s="73"/>
      <c r="N74" s="73"/>
      <c r="O74" s="73"/>
      <c r="P74" s="73"/>
    </row>
    <row r="75" spans="1:16" ht="14.4" x14ac:dyDescent="0.3">
      <c r="A75" s="73"/>
      <c r="B75" s="73"/>
      <c r="C75" s="73"/>
      <c r="D75" s="73"/>
      <c r="E75" s="73"/>
      <c r="F75" s="90">
        <f t="shared" ref="F75:F95" si="5">F74+Sigma/10</f>
        <v>25.250000000000028</v>
      </c>
      <c r="G75" s="80">
        <f t="shared" si="4"/>
        <v>2.0621529992433389E-3</v>
      </c>
      <c r="H75" s="73"/>
      <c r="I75" s="73"/>
      <c r="J75" s="73"/>
      <c r="K75" s="73"/>
      <c r="L75" s="73"/>
      <c r="M75" s="73"/>
      <c r="N75" s="73"/>
      <c r="O75" s="73"/>
      <c r="P75" s="73"/>
    </row>
    <row r="76" spans="1:16" ht="14.4" x14ac:dyDescent="0.3">
      <c r="A76" s="73"/>
      <c r="B76" s="73"/>
      <c r="C76" s="73"/>
      <c r="D76" s="73"/>
      <c r="E76" s="73"/>
      <c r="F76" s="90">
        <f t="shared" si="5"/>
        <v>26.10000000000003</v>
      </c>
      <c r="G76" s="80">
        <f t="shared" si="4"/>
        <v>1.5979963804335865E-3</v>
      </c>
      <c r="H76" s="73"/>
      <c r="I76" s="73"/>
      <c r="J76" s="73"/>
      <c r="K76" s="73"/>
      <c r="L76" s="73"/>
      <c r="M76" s="73"/>
      <c r="N76" s="73"/>
      <c r="O76" s="73"/>
      <c r="P76" s="73"/>
    </row>
    <row r="77" spans="1:16" ht="14.4" x14ac:dyDescent="0.3">
      <c r="A77" s="73"/>
      <c r="B77" s="73"/>
      <c r="C77" s="73"/>
      <c r="D77" s="73"/>
      <c r="E77" s="73"/>
      <c r="F77" s="90">
        <f t="shared" si="5"/>
        <v>26.950000000000031</v>
      </c>
      <c r="G77" s="80">
        <f t="shared" si="4"/>
        <v>1.2259923311085281E-3</v>
      </c>
      <c r="H77" s="73"/>
      <c r="I77" s="73"/>
      <c r="J77" s="73"/>
      <c r="K77" s="73"/>
      <c r="L77" s="73"/>
      <c r="M77" s="73"/>
      <c r="N77" s="73"/>
      <c r="O77" s="73"/>
      <c r="P77" s="73"/>
    </row>
    <row r="78" spans="1:16" ht="14.4" x14ac:dyDescent="0.3">
      <c r="A78" s="73"/>
      <c r="B78" s="73"/>
      <c r="C78" s="73"/>
      <c r="D78" s="73"/>
      <c r="E78" s="73"/>
      <c r="F78" s="90">
        <f t="shared" si="5"/>
        <v>27.800000000000033</v>
      </c>
      <c r="G78" s="80">
        <f t="shared" si="4"/>
        <v>9.3122959799763296E-4</v>
      </c>
      <c r="H78" s="73"/>
      <c r="I78" s="73"/>
      <c r="J78" s="73"/>
      <c r="K78" s="73"/>
      <c r="L78" s="73"/>
      <c r="M78" s="73"/>
      <c r="N78" s="73"/>
      <c r="O78" s="73"/>
      <c r="P78" s="73"/>
    </row>
    <row r="79" spans="1:16" ht="14.4" x14ac:dyDescent="0.3">
      <c r="A79" s="73"/>
      <c r="B79" s="73"/>
      <c r="C79" s="73"/>
      <c r="D79" s="73"/>
      <c r="E79" s="73"/>
      <c r="F79" s="90">
        <f t="shared" si="5"/>
        <v>28.650000000000034</v>
      </c>
      <c r="G79" s="80">
        <f t="shared" si="4"/>
        <v>7.0029793173832767E-4</v>
      </c>
      <c r="H79" s="73"/>
      <c r="I79" s="73"/>
      <c r="J79" s="73"/>
      <c r="K79" s="73"/>
      <c r="L79" s="73"/>
      <c r="M79" s="73"/>
      <c r="N79" s="73"/>
      <c r="O79" s="73"/>
      <c r="P79" s="73"/>
    </row>
    <row r="80" spans="1:16" ht="14.4" x14ac:dyDescent="0.3">
      <c r="A80" s="73"/>
      <c r="B80" s="73"/>
      <c r="C80" s="73"/>
      <c r="D80" s="73"/>
      <c r="E80" s="73"/>
      <c r="F80" s="90">
        <f t="shared" si="5"/>
        <v>29.500000000000036</v>
      </c>
      <c r="G80" s="80">
        <f t="shared" si="4"/>
        <v>5.2139393081622974E-4</v>
      </c>
      <c r="H80" s="73"/>
      <c r="I80" s="73"/>
      <c r="J80" s="73"/>
      <c r="K80" s="73"/>
      <c r="L80" s="73"/>
      <c r="M80" s="73"/>
      <c r="N80" s="73"/>
      <c r="O80" s="73"/>
      <c r="P80" s="73"/>
    </row>
    <row r="81" spans="1:16" ht="14.4" x14ac:dyDescent="0.3">
      <c r="A81" s="73"/>
      <c r="B81" s="73"/>
      <c r="C81" s="73"/>
      <c r="D81" s="73"/>
      <c r="E81" s="73"/>
      <c r="F81" s="90">
        <f t="shared" si="5"/>
        <v>30.350000000000037</v>
      </c>
      <c r="G81" s="80">
        <f t="shared" si="4"/>
        <v>3.8433165367057358E-4</v>
      </c>
      <c r="H81" s="73"/>
      <c r="I81" s="73"/>
      <c r="J81" s="73"/>
      <c r="K81" s="73"/>
      <c r="L81" s="73"/>
      <c r="M81" s="73"/>
      <c r="N81" s="73"/>
      <c r="O81" s="73"/>
      <c r="P81" s="73"/>
    </row>
    <row r="82" spans="1:16" ht="14.4" x14ac:dyDescent="0.3">
      <c r="A82" s="73"/>
      <c r="B82" s="73"/>
      <c r="C82" s="73"/>
      <c r="D82" s="73"/>
      <c r="E82" s="73"/>
      <c r="F82" s="90">
        <f t="shared" si="5"/>
        <v>31.200000000000038</v>
      </c>
      <c r="G82" s="80">
        <f t="shared" si="4"/>
        <v>2.8048096487821248E-4</v>
      </c>
      <c r="H82" s="73"/>
      <c r="I82" s="73"/>
      <c r="J82" s="73"/>
      <c r="K82" s="73"/>
      <c r="L82" s="73"/>
      <c r="M82" s="73"/>
      <c r="N82" s="73"/>
      <c r="O82" s="73"/>
      <c r="P82" s="73"/>
    </row>
    <row r="83" spans="1:16" ht="14.4" x14ac:dyDescent="0.3">
      <c r="A83" s="73"/>
      <c r="B83" s="73"/>
      <c r="C83" s="73"/>
      <c r="D83" s="73"/>
      <c r="E83" s="73"/>
      <c r="F83" s="90">
        <f t="shared" si="5"/>
        <v>32.05000000000004</v>
      </c>
      <c r="G83" s="80">
        <f t="shared" si="4"/>
        <v>2.0265516930042987E-4</v>
      </c>
      <c r="H83" s="73"/>
      <c r="I83" s="73"/>
      <c r="J83" s="73"/>
      <c r="K83" s="73"/>
      <c r="L83" s="73"/>
      <c r="M83" s="73"/>
      <c r="N83" s="73"/>
      <c r="O83" s="73"/>
      <c r="P83" s="73"/>
    </row>
    <row r="84" spans="1:16" ht="14.4" x14ac:dyDescent="0.3">
      <c r="A84" s="73"/>
      <c r="B84" s="73"/>
      <c r="C84" s="73"/>
      <c r="D84" s="73"/>
      <c r="E84" s="73"/>
      <c r="F84" s="90">
        <f t="shared" si="5"/>
        <v>32.900000000000041</v>
      </c>
      <c r="G84" s="80">
        <f t="shared" si="4"/>
        <v>1.4496696099682344E-4</v>
      </c>
      <c r="H84" s="73"/>
      <c r="I84" s="73"/>
      <c r="J84" s="73"/>
      <c r="K84" s="73"/>
      <c r="L84" s="73"/>
      <c r="M84" s="73"/>
      <c r="N84" s="73"/>
      <c r="O84" s="73"/>
      <c r="P84" s="73"/>
    </row>
    <row r="85" spans="1:16" ht="14.4" x14ac:dyDescent="0.3">
      <c r="A85" s="73"/>
      <c r="B85" s="73"/>
      <c r="C85" s="73"/>
      <c r="D85" s="73"/>
      <c r="E85" s="73"/>
      <c r="F85" s="90">
        <f t="shared" si="5"/>
        <v>33.750000000000043</v>
      </c>
      <c r="G85" s="80">
        <f t="shared" si="4"/>
        <v>1.0266855235832298E-4</v>
      </c>
      <c r="H85" s="73"/>
      <c r="I85" s="73"/>
      <c r="J85" s="73"/>
      <c r="K85" s="73"/>
      <c r="L85" s="73"/>
      <c r="M85" s="73"/>
      <c r="N85" s="73"/>
      <c r="O85" s="73"/>
      <c r="P85" s="73"/>
    </row>
    <row r="86" spans="1:16" ht="14.4" x14ac:dyDescent="0.3">
      <c r="A86" s="73"/>
      <c r="B86" s="73"/>
      <c r="C86" s="73"/>
      <c r="D86" s="73"/>
      <c r="E86" s="73"/>
      <c r="F86" s="90">
        <f t="shared" si="5"/>
        <v>34.600000000000044</v>
      </c>
      <c r="G86" s="80">
        <f t="shared" si="4"/>
        <v>7.1988462366324836E-5</v>
      </c>
      <c r="H86" s="73"/>
      <c r="I86" s="73"/>
      <c r="J86" s="73"/>
      <c r="K86" s="73"/>
      <c r="L86" s="73"/>
      <c r="M86" s="73"/>
      <c r="N86" s="73"/>
      <c r="O86" s="73"/>
      <c r="P86" s="73"/>
    </row>
    <row r="87" spans="1:16" ht="14.4" x14ac:dyDescent="0.3">
      <c r="A87" s="73"/>
      <c r="B87" s="73"/>
      <c r="C87" s="73"/>
      <c r="D87" s="73"/>
      <c r="E87" s="73"/>
      <c r="F87" s="90">
        <f t="shared" si="5"/>
        <v>35.450000000000045</v>
      </c>
      <c r="G87" s="80">
        <f t="shared" si="4"/>
        <v>4.9974149476558016E-5</v>
      </c>
      <c r="H87" s="73"/>
      <c r="I87" s="73"/>
      <c r="J87" s="73"/>
      <c r="K87" s="73"/>
      <c r="L87" s="73"/>
      <c r="M87" s="73"/>
      <c r="N87" s="73"/>
      <c r="O87" s="73"/>
      <c r="P87" s="73"/>
    </row>
    <row r="88" spans="1:16" ht="14.4" x14ac:dyDescent="0.3">
      <c r="A88" s="73"/>
      <c r="B88" s="73"/>
      <c r="C88" s="73"/>
      <c r="D88" s="73"/>
      <c r="E88" s="73"/>
      <c r="F88" s="90">
        <f t="shared" si="5"/>
        <v>36.300000000000047</v>
      </c>
      <c r="G88" s="80">
        <f t="shared" si="4"/>
        <v>3.4346697151935775E-5</v>
      </c>
      <c r="H88" s="73"/>
      <c r="I88" s="73"/>
      <c r="J88" s="73"/>
      <c r="K88" s="73"/>
      <c r="L88" s="73"/>
      <c r="M88" s="73"/>
      <c r="N88" s="73"/>
      <c r="O88" s="73"/>
      <c r="P88" s="73"/>
    </row>
    <row r="89" spans="1:16" ht="14.4" x14ac:dyDescent="0.3">
      <c r="A89" s="73"/>
      <c r="B89" s="73"/>
      <c r="C89" s="73"/>
      <c r="D89" s="73"/>
      <c r="E89" s="73"/>
      <c r="F89" s="90">
        <f t="shared" si="5"/>
        <v>37.150000000000048</v>
      </c>
      <c r="G89" s="80">
        <f t="shared" si="4"/>
        <v>2.3371231928560979E-5</v>
      </c>
      <c r="H89" s="73"/>
      <c r="I89" s="73"/>
      <c r="J89" s="73"/>
      <c r="K89" s="73"/>
      <c r="L89" s="73"/>
      <c r="M89" s="73"/>
      <c r="N89" s="73"/>
      <c r="O89" s="73"/>
      <c r="P89" s="73"/>
    </row>
    <row r="90" spans="1:16" ht="14.4" x14ac:dyDescent="0.3">
      <c r="A90" s="73"/>
      <c r="B90" s="73"/>
      <c r="C90" s="73"/>
      <c r="D90" s="73"/>
      <c r="E90" s="73"/>
      <c r="F90" s="90">
        <f t="shared" si="5"/>
        <v>38.00000000000005</v>
      </c>
      <c r="G90" s="80">
        <f t="shared" si="4"/>
        <v>1.5744732442927297E-5</v>
      </c>
      <c r="H90" s="73"/>
      <c r="I90" s="73"/>
      <c r="J90" s="73"/>
      <c r="K90" s="73"/>
      <c r="L90" s="73"/>
      <c r="M90" s="73"/>
      <c r="N90" s="73"/>
      <c r="O90" s="73"/>
      <c r="P90" s="73"/>
    </row>
    <row r="91" spans="1:16" ht="14.4" x14ac:dyDescent="0.3">
      <c r="A91" s="73"/>
      <c r="B91" s="73"/>
      <c r="C91" s="73"/>
      <c r="D91" s="73"/>
      <c r="E91" s="73"/>
      <c r="F91" s="90">
        <f t="shared" si="5"/>
        <v>38.850000000000051</v>
      </c>
      <c r="G91" s="80">
        <f t="shared" si="4"/>
        <v>1.0501371432603612E-5</v>
      </c>
      <c r="H91" s="73"/>
      <c r="I91" s="73"/>
      <c r="J91" s="73"/>
      <c r="K91" s="73"/>
      <c r="L91" s="73"/>
      <c r="M91" s="73"/>
      <c r="N91" s="73"/>
      <c r="O91" s="73"/>
      <c r="P91" s="73"/>
    </row>
    <row r="92" spans="1:16" ht="14.4" x14ac:dyDescent="0.3">
      <c r="A92" s="73"/>
      <c r="B92" s="73"/>
      <c r="C92" s="73"/>
      <c r="D92" s="73"/>
      <c r="E92" s="73"/>
      <c r="F92" s="90">
        <f t="shared" si="5"/>
        <v>39.700000000000053</v>
      </c>
      <c r="G92" s="80">
        <f t="shared" si="4"/>
        <v>6.9344785595927394E-6</v>
      </c>
      <c r="H92" s="73"/>
      <c r="I92" s="73"/>
      <c r="J92" s="73"/>
      <c r="K92" s="73"/>
      <c r="L92" s="73"/>
      <c r="M92" s="73"/>
      <c r="N92" s="73"/>
      <c r="O92" s="73"/>
      <c r="P92" s="73"/>
    </row>
    <row r="93" spans="1:16" ht="14.4" x14ac:dyDescent="0.3">
      <c r="A93" s="73"/>
      <c r="B93" s="73"/>
      <c r="C93" s="73"/>
      <c r="D93" s="73"/>
      <c r="E93" s="73"/>
      <c r="F93" s="90">
        <f t="shared" si="5"/>
        <v>40.550000000000054</v>
      </c>
      <c r="G93" s="80">
        <f t="shared" si="4"/>
        <v>4.5335525578924829E-6</v>
      </c>
      <c r="H93" s="73"/>
      <c r="I93" s="73"/>
      <c r="J93" s="73"/>
      <c r="K93" s="73"/>
      <c r="L93" s="73"/>
      <c r="M93" s="73"/>
      <c r="N93" s="73"/>
      <c r="O93" s="73"/>
      <c r="P93" s="73"/>
    </row>
    <row r="94" spans="1:16" ht="14.4" x14ac:dyDescent="0.3">
      <c r="A94" s="73"/>
      <c r="B94" s="73"/>
      <c r="C94" s="73"/>
      <c r="D94" s="73"/>
      <c r="E94" s="73"/>
      <c r="F94" s="90">
        <f t="shared" si="5"/>
        <v>41.400000000000055</v>
      </c>
      <c r="G94" s="80">
        <f t="shared" si="4"/>
        <v>2.9344083870650435E-6</v>
      </c>
      <c r="H94" s="73"/>
      <c r="I94" s="73"/>
      <c r="J94" s="73"/>
      <c r="K94" s="73"/>
      <c r="L94" s="73"/>
      <c r="M94" s="73"/>
      <c r="N94" s="73"/>
      <c r="O94" s="73"/>
      <c r="P94" s="73"/>
    </row>
    <row r="95" spans="1:16" ht="14.4" x14ac:dyDescent="0.3">
      <c r="A95" s="73"/>
      <c r="B95" s="73"/>
      <c r="C95" s="73"/>
      <c r="D95" s="73"/>
      <c r="E95" s="73"/>
      <c r="F95" s="90">
        <f t="shared" si="5"/>
        <v>42.250000000000057</v>
      </c>
      <c r="G95" s="80">
        <f t="shared" si="4"/>
        <v>1.8804401302241134E-6</v>
      </c>
      <c r="H95" s="73"/>
      <c r="I95" s="73"/>
      <c r="J95" s="73"/>
      <c r="K95" s="73"/>
      <c r="L95" s="73"/>
      <c r="M95" s="73"/>
      <c r="N95" s="73"/>
      <c r="O95" s="73"/>
      <c r="P95" s="73"/>
    </row>
    <row r="96" spans="1:16" ht="14.4" x14ac:dyDescent="0.3">
      <c r="A96" s="73"/>
      <c r="B96" s="73"/>
      <c r="C96" s="73"/>
      <c r="D96" s="73"/>
      <c r="E96" s="73"/>
      <c r="F96" s="73"/>
      <c r="G96" s="80"/>
      <c r="H96" s="73"/>
      <c r="I96" s="73"/>
      <c r="J96" s="73"/>
      <c r="K96" s="73"/>
      <c r="L96" s="73"/>
      <c r="M96" s="73"/>
      <c r="N96" s="73"/>
      <c r="O96" s="73"/>
      <c r="P96" s="73"/>
    </row>
    <row r="97" spans="1:16" ht="14.4" x14ac:dyDescent="0.3">
      <c r="A97" s="73"/>
      <c r="B97" s="73"/>
      <c r="C97" s="73"/>
      <c r="D97" s="73"/>
      <c r="E97" s="73"/>
      <c r="F97" s="73"/>
      <c r="G97" s="80"/>
      <c r="H97" s="73"/>
      <c r="I97" s="73"/>
      <c r="J97" s="73"/>
      <c r="K97" s="73"/>
      <c r="L97" s="73"/>
      <c r="M97" s="73"/>
      <c r="N97" s="73"/>
      <c r="O97" s="73"/>
      <c r="P97" s="73"/>
    </row>
    <row r="98" spans="1:16" ht="14.4" x14ac:dyDescent="0.3">
      <c r="A98" s="73"/>
      <c r="B98" s="73"/>
      <c r="C98" s="73"/>
      <c r="D98" s="73"/>
      <c r="E98" s="73"/>
      <c r="F98" s="73"/>
      <c r="G98" s="80"/>
      <c r="H98" s="73"/>
      <c r="I98" s="73"/>
      <c r="J98" s="73"/>
      <c r="K98" s="73"/>
      <c r="L98" s="73"/>
      <c r="M98" s="73"/>
      <c r="N98" s="73"/>
      <c r="O98" s="73"/>
      <c r="P98" s="73"/>
    </row>
    <row r="99" spans="1:16" ht="14.4" x14ac:dyDescent="0.3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O99" s="73"/>
      <c r="P99" s="73"/>
    </row>
  </sheetData>
  <mergeCells count="2">
    <mergeCell ref="B9:C9"/>
    <mergeCell ref="B14:C14"/>
  </mergeCells>
  <phoneticPr fontId="25" type="noConversion"/>
  <pageMargins left="0.75" right="0.75" top="1" bottom="1" header="0.5" footer="0.5"/>
  <pageSetup paperSize="9" orientation="portrait" horizontalDpi="200" verticalDpi="200" copies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B1:P99"/>
  <sheetViews>
    <sheetView showGridLines="0" zoomScaleNormal="100" workbookViewId="0">
      <pane ySplit="7" topLeftCell="A8" activePane="bottomLeft" state="frozen"/>
      <selection pane="bottomLeft" activeCell="B14" sqref="B14"/>
    </sheetView>
  </sheetViews>
  <sheetFormatPr defaultRowHeight="13.2" x14ac:dyDescent="0.25"/>
  <cols>
    <col min="2" max="2" width="17" customWidth="1"/>
    <col min="3" max="3" width="12" customWidth="1"/>
    <col min="4" max="4" width="9.6640625" customWidth="1"/>
    <col min="5" max="5" width="11.21875" customWidth="1"/>
    <col min="6" max="6" width="9.44140625" customWidth="1"/>
    <col min="7" max="7" width="10.44140625" customWidth="1"/>
    <col min="8" max="8" width="9.77734375" bestFit="1" customWidth="1"/>
    <col min="10" max="12" width="20.44140625" bestFit="1" customWidth="1"/>
    <col min="13" max="13" width="8.5546875" bestFit="1" customWidth="1"/>
    <col min="14" max="14" width="12.109375" bestFit="1" customWidth="1"/>
  </cols>
  <sheetData>
    <row r="1" spans="2:16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2:16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6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6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6" ht="13.8" thickBot="1" x14ac:dyDescent="0.3">
      <c r="H8" s="2"/>
    </row>
    <row r="9" spans="2:16" ht="16.2" thickBot="1" x14ac:dyDescent="0.35">
      <c r="B9" s="170" t="s">
        <v>0</v>
      </c>
      <c r="C9" s="171"/>
      <c r="D9" s="73"/>
      <c r="E9" s="170" t="s">
        <v>25</v>
      </c>
      <c r="F9" s="171"/>
      <c r="G9" s="14"/>
      <c r="H9" s="14"/>
      <c r="I9" s="7"/>
    </row>
    <row r="10" spans="2:16" ht="15.6" x14ac:dyDescent="0.3">
      <c r="B10" s="89" t="s">
        <v>14</v>
      </c>
      <c r="C10" s="114">
        <v>0.02</v>
      </c>
      <c r="D10" s="73"/>
      <c r="E10" s="89">
        <v>1</v>
      </c>
      <c r="F10" s="114">
        <v>0.02</v>
      </c>
      <c r="G10" s="14"/>
      <c r="H10" s="73" t="s">
        <v>65</v>
      </c>
      <c r="I10" s="7"/>
      <c r="J10" s="6"/>
      <c r="K10" s="6"/>
    </row>
    <row r="11" spans="2:16" ht="15.6" x14ac:dyDescent="0.3">
      <c r="B11" s="92" t="s">
        <v>15</v>
      </c>
      <c r="C11" s="115">
        <v>0.03</v>
      </c>
      <c r="D11" s="73"/>
      <c r="E11" s="92">
        <v>2</v>
      </c>
      <c r="F11" s="117">
        <v>2.5000000000000001E-2</v>
      </c>
      <c r="G11" s="15"/>
      <c r="H11" s="73" t="s">
        <v>66</v>
      </c>
      <c r="I11" s="7"/>
    </row>
    <row r="12" spans="2:16" ht="15.6" x14ac:dyDescent="0.3">
      <c r="B12" s="92" t="s">
        <v>16</v>
      </c>
      <c r="C12" s="115">
        <v>0.5</v>
      </c>
      <c r="D12" s="73"/>
      <c r="E12" s="92">
        <v>3</v>
      </c>
      <c r="F12" s="117">
        <v>0.03</v>
      </c>
      <c r="G12" s="15"/>
      <c r="H12" s="73" t="s">
        <v>67</v>
      </c>
      <c r="I12" s="7"/>
    </row>
    <row r="13" spans="2:16" ht="15.6" x14ac:dyDescent="0.3">
      <c r="B13" s="100" t="s">
        <v>8</v>
      </c>
      <c r="C13" s="116">
        <v>0.95</v>
      </c>
      <c r="D13" s="73"/>
      <c r="E13" s="92">
        <v>4</v>
      </c>
      <c r="F13" s="117">
        <v>3.5000000000000003E-2</v>
      </c>
      <c r="G13" s="15"/>
      <c r="H13" s="73" t="s">
        <v>68</v>
      </c>
      <c r="I13" s="7"/>
      <c r="J13" s="73"/>
    </row>
    <row r="14" spans="2:16" ht="14.4" x14ac:dyDescent="0.3">
      <c r="D14" s="73"/>
      <c r="E14" s="100">
        <v>5</v>
      </c>
      <c r="F14" s="167">
        <v>0.04</v>
      </c>
      <c r="G14" s="15"/>
      <c r="H14" s="14"/>
      <c r="J14" s="73"/>
    </row>
    <row r="15" spans="2:16" ht="16.2" thickBot="1" x14ac:dyDescent="0.35">
      <c r="B15" s="73"/>
      <c r="C15" s="73"/>
      <c r="D15" s="73"/>
      <c r="E15" s="93" t="s">
        <v>74</v>
      </c>
      <c r="F15" s="130">
        <v>0.6</v>
      </c>
      <c r="G15" s="15"/>
      <c r="H15" s="14"/>
      <c r="I15" s="7"/>
      <c r="J15" s="73"/>
    </row>
    <row r="16" spans="2:16" ht="15.6" x14ac:dyDescent="0.3">
      <c r="D16" s="73"/>
      <c r="E16" s="73"/>
      <c r="F16" s="73"/>
      <c r="G16" s="15"/>
      <c r="H16" s="14"/>
      <c r="I16" s="7"/>
      <c r="J16" s="73"/>
    </row>
    <row r="17" spans="2:15" ht="15.6" thickBot="1" x14ac:dyDescent="0.3">
      <c r="B17" s="14"/>
      <c r="C17" s="20"/>
      <c r="D17" s="14"/>
      <c r="E17" s="14"/>
      <c r="F17" s="14"/>
      <c r="G17" s="15"/>
      <c r="H17" s="14"/>
      <c r="I17" s="7"/>
    </row>
    <row r="18" spans="2:15" ht="16.2" thickBot="1" x14ac:dyDescent="0.35">
      <c r="B18" s="71"/>
      <c r="C18" s="101" t="s">
        <v>41</v>
      </c>
      <c r="D18" s="101" t="s">
        <v>12</v>
      </c>
      <c r="E18" s="102" t="s">
        <v>11</v>
      </c>
      <c r="F18" s="101" t="s">
        <v>17</v>
      </c>
      <c r="G18" s="101" t="s">
        <v>6</v>
      </c>
      <c r="H18" s="72" t="s">
        <v>13</v>
      </c>
      <c r="I18" s="7"/>
      <c r="J18" s="10"/>
      <c r="K18" s="10"/>
      <c r="L18" s="10"/>
      <c r="M18" s="10"/>
      <c r="N18" s="10"/>
      <c r="O18" s="10"/>
    </row>
    <row r="19" spans="2:15" ht="15.6" x14ac:dyDescent="0.3">
      <c r="B19" s="103">
        <v>0</v>
      </c>
      <c r="C19" s="104" cm="1">
        <f t="array" ref="C19">cubic_spline($E$10:$E$14,$F$10:$F$14,B19,0)</f>
        <v>1.4999998733401299E-2</v>
      </c>
      <c r="D19" s="105"/>
      <c r="E19" s="106"/>
      <c r="F19" s="105"/>
      <c r="G19" s="118">
        <v>0</v>
      </c>
      <c r="H19" s="119">
        <v>0</v>
      </c>
      <c r="I19" s="7"/>
    </row>
    <row r="20" spans="2:15" ht="15.6" x14ac:dyDescent="0.3">
      <c r="B20" s="107">
        <v>0.05</v>
      </c>
      <c r="C20" s="108" cm="1">
        <f t="array" ref="C20">cubic_spline($E$10:$E$14,$F$10:$F$14,B20,0)</f>
        <v>1.5250000389143162E-2</v>
      </c>
      <c r="D20" s="108">
        <f t="shared" ref="D20:D41" si="0">EXP(-B19*C19/LGD)-EXP(-B20*C20/LGD)</f>
        <v>1.2700261990011841E-3</v>
      </c>
      <c r="E20" s="79">
        <f t="shared" ref="E20:E41" si="1">(1-EXP(-IRate*(5-B20)))/IRate*(1-SUM(D19:D20))</f>
        <v>4.5941576407715274</v>
      </c>
      <c r="F20" s="109">
        <f>CDSSpread*SpreadVol*SQRT(B20)</f>
        <v>2.2360679774997899E-3</v>
      </c>
      <c r="G20" s="120">
        <f t="shared" ref="G20:G40" si="2">D20*LGD+(1-D20)*F20*E20/SQRT(2*PI())</f>
        <v>4.8550845245594384E-3</v>
      </c>
      <c r="H20" s="121" cm="1">
        <f t="array" ref="H20">IF(D20&gt;(1-ConfLevel1),(1-Rec),F20*E20*NORMSINV(ConfLevel1+D20))</f>
        <v>1.702513584702434E-2</v>
      </c>
      <c r="I20" s="25"/>
      <c r="J20" s="9"/>
      <c r="K20" s="9"/>
      <c r="L20" s="13"/>
      <c r="M20" s="6"/>
      <c r="N20" s="11"/>
      <c r="O20" s="12"/>
    </row>
    <row r="21" spans="2:15" ht="15.6" x14ac:dyDescent="0.3">
      <c r="B21" s="107">
        <v>0.1</v>
      </c>
      <c r="C21" s="108" cm="1">
        <f t="array" ref="C21">cubic_spline($E$10:$E$14,$F$10:$F$14,B21,0)</f>
        <v>1.5499998329074257E-2</v>
      </c>
      <c r="D21" s="108">
        <f t="shared" si="0"/>
        <v>1.309972922513003E-3</v>
      </c>
      <c r="E21" s="79">
        <f t="shared" si="1"/>
        <v>4.5451107055169668</v>
      </c>
      <c r="F21" s="109">
        <f t="shared" ref="F21:F41" si="3">CDSSpread*SpreadVol*SQRT(B21)</f>
        <v>3.1622776601683794E-3</v>
      </c>
      <c r="G21" s="120">
        <f t="shared" si="2"/>
        <v>6.5124307420074976E-3</v>
      </c>
      <c r="H21" s="121" cm="1">
        <f t="array" ref="H21">IF(D21&gt;(1-ConfLevel1),(1-Rec),F21*E21*NORMSINV(ConfLevel1+D21))</f>
        <v>2.3825815931219695E-2</v>
      </c>
      <c r="I21" s="25"/>
      <c r="J21" s="9"/>
      <c r="K21" s="9"/>
      <c r="L21" s="13"/>
      <c r="M21" s="6"/>
      <c r="N21" s="11"/>
      <c r="O21" s="12"/>
    </row>
    <row r="22" spans="2:15" ht="15.6" x14ac:dyDescent="0.3">
      <c r="B22" s="107">
        <v>0.25</v>
      </c>
      <c r="C22" s="108" cm="1">
        <f t="array" ref="C22">cubic_spline($E$10:$E$14,$F$10:$F$14,B22,0)</f>
        <v>1.6249999651336118E-2</v>
      </c>
      <c r="D22" s="108">
        <f t="shared" si="0"/>
        <v>4.1679636219452698E-3</v>
      </c>
      <c r="E22" s="79">
        <f t="shared" si="1"/>
        <v>4.4028302519281253</v>
      </c>
      <c r="F22" s="109">
        <f t="shared" si="3"/>
        <v>5.0000000000000001E-3</v>
      </c>
      <c r="G22" s="120">
        <f t="shared" si="2"/>
        <v>1.124654925533914E-2</v>
      </c>
      <c r="H22" s="121" cm="1">
        <f t="array" ref="H22">IF(D22&gt;(1-ConfLevel1),(1-Rec),F22*E22*NORMSINV(ConfLevel1+D22))</f>
        <v>3.7130923283486904E-2</v>
      </c>
      <c r="I22" s="7"/>
      <c r="J22" s="9"/>
      <c r="K22" s="9"/>
      <c r="L22" s="13"/>
      <c r="M22" s="6"/>
      <c r="N22" s="11"/>
      <c r="O22" s="12"/>
    </row>
    <row r="23" spans="2:15" ht="15.6" x14ac:dyDescent="0.3">
      <c r="B23" s="107">
        <f t="shared" ref="B23:B41" si="4">B22+0.25</f>
        <v>0.5</v>
      </c>
      <c r="C23" s="108" cm="1">
        <f t="array" ref="C23">cubic_spline($E$10:$E$14,$F$10:$F$14,B23,0)</f>
        <v>1.7499998893721835E-2</v>
      </c>
      <c r="D23" s="108">
        <f t="shared" si="0"/>
        <v>7.7295479116910037E-3</v>
      </c>
      <c r="E23" s="79">
        <f t="shared" si="1"/>
        <v>4.1593873971586408</v>
      </c>
      <c r="F23" s="109">
        <f t="shared" si="3"/>
        <v>7.0710678118654762E-3</v>
      </c>
      <c r="G23" s="120">
        <f t="shared" si="2"/>
        <v>1.6280449969009993E-2</v>
      </c>
      <c r="H23" s="121" cm="1">
        <f t="array" ref="H23">IF(D23&gt;(1-ConfLevel1),(1-Rec),F23*E23*NORMSINV(ConfLevel1+D23))</f>
        <v>5.0732318417593257E-2</v>
      </c>
      <c r="I23" s="7"/>
      <c r="J23" s="9"/>
      <c r="K23" s="9"/>
      <c r="L23" s="13"/>
      <c r="M23" s="6"/>
      <c r="N23" s="11"/>
      <c r="O23" s="12"/>
    </row>
    <row r="24" spans="2:15" ht="15.6" x14ac:dyDescent="0.3">
      <c r="B24" s="107">
        <f t="shared" si="4"/>
        <v>0.75</v>
      </c>
      <c r="C24" s="108" cm="1">
        <f t="array" ref="C24">cubic_spline($E$10:$E$14,$F$10:$F$14,B24,0)</f>
        <v>1.8749998260838251E-2</v>
      </c>
      <c r="D24" s="108">
        <f t="shared" si="0"/>
        <v>8.687462271194879E-3</v>
      </c>
      <c r="E24" s="79">
        <f t="shared" si="1"/>
        <v>3.9247119984856922</v>
      </c>
      <c r="F24" s="109">
        <f t="shared" si="3"/>
        <v>8.6602540378443865E-3</v>
      </c>
      <c r="G24" s="120">
        <f t="shared" si="2"/>
        <v>1.8654328750359359E-2</v>
      </c>
      <c r="H24" s="121" cm="1">
        <f t="array" ref="H24">IF(D24&gt;(1-ConfLevel1),(1-Rec),F24*E24*NORMSINV(ConfLevel1+D24))</f>
        <v>5.899314048124453E-2</v>
      </c>
      <c r="I24" s="7"/>
      <c r="J24" s="9"/>
      <c r="K24" s="9"/>
      <c r="L24" s="13"/>
      <c r="M24" s="6"/>
      <c r="N24" s="11"/>
      <c r="O24" s="12"/>
    </row>
    <row r="25" spans="2:15" ht="15.6" x14ac:dyDescent="0.3">
      <c r="B25" s="107">
        <f t="shared" si="4"/>
        <v>1</v>
      </c>
      <c r="C25" s="108" cm="1">
        <f t="array" ref="C25">cubic_spline($E$10:$E$14,$F$10:$F$14,B25,0)</f>
        <v>1.9999999552965164E-2</v>
      </c>
      <c r="D25" s="108">
        <f t="shared" si="0"/>
        <v>9.6189258710166481E-3</v>
      </c>
      <c r="E25" s="79">
        <f t="shared" si="1"/>
        <v>3.7003161635478348</v>
      </c>
      <c r="F25" s="109">
        <f t="shared" si="3"/>
        <v>0.01</v>
      </c>
      <c r="G25" s="120">
        <f t="shared" si="2"/>
        <v>2.0391485414868647E-2</v>
      </c>
      <c r="H25" s="121" cm="1">
        <f t="array" ref="H25">IF(D25&gt;(1-ConfLevel1),(1-Rec),F25*E25*NORMSINV(ConfLevel1+D25))</f>
        <v>6.4617915438705695E-2</v>
      </c>
      <c r="I25" s="7"/>
      <c r="J25" s="9"/>
      <c r="K25" s="9"/>
      <c r="L25" s="13"/>
      <c r="M25" s="6"/>
      <c r="N25" s="11"/>
      <c r="O25" s="12"/>
    </row>
    <row r="26" spans="2:15" ht="15.6" x14ac:dyDescent="0.3">
      <c r="B26" s="107">
        <f t="shared" si="4"/>
        <v>1.25</v>
      </c>
      <c r="C26" s="108" cm="1">
        <f t="array" ref="C26">cubic_spline($E$10:$E$14,$F$10:$F$14,B26,0)</f>
        <v>2.1249999913769503E-2</v>
      </c>
      <c r="D26" s="108">
        <f t="shared" si="0"/>
        <v>1.0521283494422606E-2</v>
      </c>
      <c r="E26" s="79">
        <f t="shared" si="1"/>
        <v>3.4753227061737224</v>
      </c>
      <c r="F26" s="109">
        <f t="shared" si="3"/>
        <v>1.1180339887498949E-2</v>
      </c>
      <c r="G26" s="120">
        <f t="shared" si="2"/>
        <v>2.1650697124474122E-2</v>
      </c>
      <c r="H26" s="121" cm="1">
        <f t="array" ref="H26">IF(D26&gt;(1-ConfLevel1),(1-Rec),F26*E26*NORMSINV(ConfLevel1+D26))</f>
        <v>6.8259712194237876E-2</v>
      </c>
      <c r="I26" s="7"/>
      <c r="J26" s="9"/>
      <c r="K26" s="9"/>
      <c r="L26" s="13"/>
      <c r="M26" s="6"/>
      <c r="N26" s="11"/>
      <c r="O26" s="12"/>
    </row>
    <row r="27" spans="2:15" ht="15.6" x14ac:dyDescent="0.3">
      <c r="B27" s="107">
        <f t="shared" si="4"/>
        <v>1.5</v>
      </c>
      <c r="C27" s="108" cm="1">
        <f t="array" ref="C27">cubic_spline($E$10:$E$14,$F$10:$F$14,B27,0)</f>
        <v>2.2500000212208493E-2</v>
      </c>
      <c r="D27" s="108">
        <f t="shared" si="0"/>
        <v>1.1392037557659163E-2</v>
      </c>
      <c r="E27" s="79">
        <f t="shared" si="1"/>
        <v>3.2497085558715901</v>
      </c>
      <c r="F27" s="109">
        <f t="shared" si="3"/>
        <v>1.2247448713915889E-2</v>
      </c>
      <c r="G27" s="120">
        <f t="shared" si="2"/>
        <v>2.2532495600000781E-2</v>
      </c>
      <c r="H27" s="121" cm="1">
        <f t="array" ref="H27">IF(D27&gt;(1-ConfLevel1),(1-Rec),F27*E27*NORMSINV(ConfLevel1+D27))</f>
        <v>7.0330653043724337E-2</v>
      </c>
      <c r="I27" s="7"/>
      <c r="J27" s="9"/>
      <c r="K27" s="9"/>
      <c r="L27" s="13"/>
      <c r="M27" s="6"/>
      <c r="N27" s="11"/>
      <c r="O27" s="12"/>
    </row>
    <row r="28" spans="2:15" ht="15.6" x14ac:dyDescent="0.3">
      <c r="B28" s="107">
        <f t="shared" si="4"/>
        <v>1.75</v>
      </c>
      <c r="C28" s="108" cm="1">
        <f t="array" ref="C28">cubic_spline($E$10:$E$14,$F$10:$F$14,B28,0)</f>
        <v>2.3750000385916785E-2</v>
      </c>
      <c r="D28" s="108">
        <f t="shared" si="0"/>
        <v>1.2228842871477963E-2</v>
      </c>
      <c r="E28" s="79">
        <f t="shared" si="1"/>
        <v>3.0234444653980352</v>
      </c>
      <c r="F28" s="109">
        <f t="shared" si="3"/>
        <v>1.3228756555322954E-2</v>
      </c>
      <c r="G28" s="120">
        <f t="shared" si="2"/>
        <v>2.309843846368587E-2</v>
      </c>
      <c r="H28" s="121" cm="1">
        <f t="array" ref="H28">IF(D28&gt;(1-ConfLevel1),(1-Rec),F28*E28*NORMSINV(ConfLevel1+D28))</f>
        <v>7.1079925193585275E-2</v>
      </c>
      <c r="I28" s="7"/>
      <c r="J28" s="9"/>
      <c r="K28" s="9"/>
      <c r="L28" s="13"/>
      <c r="M28" s="6"/>
      <c r="N28" s="11"/>
      <c r="O28" s="12"/>
    </row>
    <row r="29" spans="2:15" ht="15.6" x14ac:dyDescent="0.3">
      <c r="B29" s="107">
        <f t="shared" si="4"/>
        <v>2</v>
      </c>
      <c r="C29" s="108" cm="1">
        <f t="array" ref="C29">cubic_spline($E$10:$E$14,$F$10:$F$14,B29,0)</f>
        <v>2.500000037252903E-2</v>
      </c>
      <c r="D29" s="108">
        <f t="shared" si="0"/>
        <v>1.3029523792232545E-2</v>
      </c>
      <c r="E29" s="79">
        <f t="shared" si="1"/>
        <v>2.7964952349347176</v>
      </c>
      <c r="F29" s="109">
        <f t="shared" si="3"/>
        <v>1.4142135623730952E-2</v>
      </c>
      <c r="G29" s="120">
        <f t="shared" si="2"/>
        <v>2.3389675329931754E-2</v>
      </c>
      <c r="H29" s="121" cm="1">
        <f t="array" ref="H29">IF(D29&gt;(1-ConfLevel1),(1-Rec),F29*E29*NORMSINV(ConfLevel1+D29))</f>
        <v>7.067216983686668E-2</v>
      </c>
      <c r="I29" s="7"/>
      <c r="J29" s="9"/>
      <c r="K29" s="9"/>
      <c r="L29" s="13"/>
      <c r="M29" s="6"/>
      <c r="N29" s="11"/>
      <c r="O29" s="12"/>
    </row>
    <row r="30" spans="2:15" ht="15.6" x14ac:dyDescent="0.3">
      <c r="B30" s="107">
        <f t="shared" si="4"/>
        <v>2.25</v>
      </c>
      <c r="C30" s="108" cm="1">
        <f t="array" ref="C30">cubic_spline($E$10:$E$14,$F$10:$F$14,B30,0)</f>
        <v>2.6250000608602667E-2</v>
      </c>
      <c r="D30" s="108">
        <f t="shared" si="0"/>
        <v>1.3792083940139643E-2</v>
      </c>
      <c r="E30" s="79">
        <f t="shared" si="1"/>
        <v>2.5688199197500037</v>
      </c>
      <c r="F30" s="109">
        <f t="shared" si="3"/>
        <v>1.4999999999999999E-2</v>
      </c>
      <c r="G30" s="120">
        <f t="shared" si="2"/>
        <v>2.3435399350450629E-2</v>
      </c>
      <c r="H30" s="121" cm="1">
        <f t="array" ref="H30">IF(D30&gt;(1-ConfLevel1),(1-Rec),F30*E30*NORMSINV(ConfLevel1+D30))</f>
        <v>6.9223080933605005E-2</v>
      </c>
      <c r="I30" s="7"/>
      <c r="J30" s="9"/>
      <c r="K30" s="9"/>
      <c r="L30" s="13"/>
      <c r="M30" s="6"/>
      <c r="N30" s="11"/>
      <c r="O30" s="12"/>
    </row>
    <row r="31" spans="2:15" ht="15.6" x14ac:dyDescent="0.3">
      <c r="B31" s="107">
        <f t="shared" si="4"/>
        <v>2.5</v>
      </c>
      <c r="C31" s="108" cm="1">
        <f t="array" ref="C31">cubic_spline($E$10:$E$14,$F$10:$F$14,B31,0)</f>
        <v>2.7499999801096103E-2</v>
      </c>
      <c r="D31" s="108">
        <f t="shared" si="0"/>
        <v>1.4514704954590507E-2</v>
      </c>
      <c r="E31" s="79">
        <f t="shared" si="1"/>
        <v>2.3403721264226771</v>
      </c>
      <c r="F31" s="109">
        <f t="shared" si="3"/>
        <v>1.5811388300841899E-2</v>
      </c>
      <c r="G31" s="120">
        <f t="shared" si="2"/>
        <v>2.325721970065546E-2</v>
      </c>
      <c r="H31" s="121" cm="1">
        <f t="array" ref="H31">IF(D31&gt;(1-ConfLevel1),(1-Rec),F31*E31*NORMSINV(ConfLevel1+D31))</f>
        <v>6.6817811065610133E-2</v>
      </c>
      <c r="I31" s="7"/>
      <c r="J31" s="9"/>
      <c r="K31" s="9"/>
      <c r="L31" s="13"/>
      <c r="M31" s="6"/>
      <c r="N31" s="11"/>
      <c r="O31" s="12"/>
    </row>
    <row r="32" spans="2:15" ht="15.6" x14ac:dyDescent="0.3">
      <c r="B32" s="107">
        <f t="shared" si="4"/>
        <v>2.75</v>
      </c>
      <c r="C32" s="108" cm="1">
        <f t="array" ref="C32">cubic_spline($E$10:$E$14,$F$10:$F$14,B32,0)</f>
        <v>2.8749999484196969E-2</v>
      </c>
      <c r="D32" s="108">
        <f t="shared" si="0"/>
        <v>1.5195776282490248E-2</v>
      </c>
      <c r="E32" s="79">
        <f t="shared" si="1"/>
        <v>2.1111002850677836</v>
      </c>
      <c r="F32" s="109">
        <f t="shared" si="3"/>
        <v>1.6583123951776999E-2</v>
      </c>
      <c r="G32" s="120">
        <f t="shared" si="2"/>
        <v>2.2871660846749121E-2</v>
      </c>
      <c r="H32" s="121" cm="1">
        <f t="array" ref="H32">IF(D32&gt;(1-ConfLevel1),(1-Rec),F32*E32*NORMSINV(ConfLevel1+D32))</f>
        <v>6.3521428701236712E-2</v>
      </c>
      <c r="I32" s="7"/>
      <c r="J32" s="9"/>
      <c r="K32" s="9"/>
      <c r="L32" s="13"/>
      <c r="M32" s="6"/>
      <c r="N32" s="11"/>
      <c r="O32" s="12"/>
    </row>
    <row r="33" spans="2:15" ht="15.6" x14ac:dyDescent="0.3">
      <c r="B33" s="107">
        <f t="shared" si="4"/>
        <v>3</v>
      </c>
      <c r="C33" s="108" cm="1">
        <f t="array" ref="C33">cubic_spline($E$10:$E$14,$F$10:$F$14,B33,0)</f>
        <v>2.9999999329447746E-2</v>
      </c>
      <c r="D33" s="108">
        <f t="shared" si="0"/>
        <v>1.5833868998819112E-2</v>
      </c>
      <c r="E33" s="79">
        <f t="shared" si="1"/>
        <v>1.8809480183359639</v>
      </c>
      <c r="F33" s="109">
        <f t="shared" si="3"/>
        <v>1.7320508075688773E-2</v>
      </c>
      <c r="G33" s="120">
        <f t="shared" si="2"/>
        <v>2.2291657250071005E-2</v>
      </c>
      <c r="H33" s="121" cm="1">
        <f t="array" ref="H33">IF(D33&gt;(1-ConfLevel1),(1-Rec),F33*E33*NORMSINV(ConfLevel1+D33))</f>
        <v>5.9385262826558941E-2</v>
      </c>
      <c r="I33" s="7"/>
      <c r="J33" s="9"/>
      <c r="K33" s="9"/>
      <c r="L33" s="13"/>
      <c r="M33" s="6"/>
      <c r="N33" s="11"/>
      <c r="O33" s="12"/>
    </row>
    <row r="34" spans="2:15" ht="15.6" x14ac:dyDescent="0.3">
      <c r="B34" s="107">
        <f t="shared" si="4"/>
        <v>3.25</v>
      </c>
      <c r="C34" s="108" cm="1">
        <f t="array" ref="C34">cubic_spline($E$10:$E$14,$F$10:$F$14,B34,0)</f>
        <v>3.1249998962656327E-2</v>
      </c>
      <c r="D34" s="108">
        <f t="shared" si="0"/>
        <v>1.6427761372280303E-2</v>
      </c>
      <c r="E34" s="79">
        <f t="shared" si="1"/>
        <v>1.6498545318340696</v>
      </c>
      <c r="F34" s="109">
        <f t="shared" si="3"/>
        <v>1.8027756377319945E-2</v>
      </c>
      <c r="G34" s="120">
        <f t="shared" si="2"/>
        <v>2.1527538407000293E-2</v>
      </c>
      <c r="H34" s="121" cm="1">
        <f t="array" ref="H34">IF(D34&gt;(1-ConfLevel1),(1-Rec),F34*E34*NORMSINV(ConfLevel1+D34))</f>
        <v>5.4451001946084723E-2</v>
      </c>
      <c r="I34" s="7"/>
      <c r="J34" s="9"/>
      <c r="K34" s="9"/>
      <c r="L34" s="13"/>
      <c r="M34" s="6"/>
      <c r="N34" s="11"/>
      <c r="O34" s="12"/>
    </row>
    <row r="35" spans="2:15" ht="15.6" x14ac:dyDescent="0.3">
      <c r="B35" s="107">
        <f t="shared" si="4"/>
        <v>3.5</v>
      </c>
      <c r="C35" s="108" cm="1">
        <f t="array" ref="C35">cubic_spline($E$10:$E$14,$F$10:$F$14,B35,0)</f>
        <v>3.2499999689337394E-2</v>
      </c>
      <c r="D35" s="108">
        <f t="shared" si="0"/>
        <v>1.6976444395497059E-2</v>
      </c>
      <c r="E35" s="79">
        <f t="shared" si="1"/>
        <v>1.417754966525085</v>
      </c>
      <c r="F35" s="109">
        <f t="shared" si="3"/>
        <v>1.8708286933869708E-2</v>
      </c>
      <c r="G35" s="120">
        <f t="shared" si="2"/>
        <v>2.0587683184548622E-2</v>
      </c>
      <c r="H35" s="121" cm="1">
        <f t="array" ref="H35">IF(D35&gt;(1-ConfLevel1),(1-Rec),F35*E35*NORMSINV(ConfLevel1+D35))</f>
        <v>4.8753436417818312E-2</v>
      </c>
      <c r="I35" s="7"/>
      <c r="J35" s="9"/>
      <c r="K35" s="9"/>
      <c r="L35" s="13"/>
      <c r="M35" s="6"/>
      <c r="N35" s="11"/>
      <c r="O35" s="12"/>
    </row>
    <row r="36" spans="2:15" ht="15.6" x14ac:dyDescent="0.3">
      <c r="B36" s="107">
        <f t="shared" si="4"/>
        <v>3.75</v>
      </c>
      <c r="C36" s="108" cm="1">
        <f t="array" ref="C36">cubic_spline($E$10:$E$14,$F$10:$F$14,B36,0)</f>
        <v>3.3749999975303313E-2</v>
      </c>
      <c r="D36" s="108">
        <f t="shared" si="0"/>
        <v>1.7479094075949719E-2</v>
      </c>
      <c r="E36" s="79">
        <f t="shared" si="1"/>
        <v>1.1845808707664653</v>
      </c>
      <c r="F36" s="109">
        <f t="shared" si="3"/>
        <v>1.9364916731037084E-2</v>
      </c>
      <c r="G36" s="120">
        <f t="shared" si="2"/>
        <v>1.9478957816349819E-2</v>
      </c>
      <c r="H36" s="121" cm="1">
        <f t="array" ref="H36">IF(D36&gt;(1-ConfLevel1),(1-Rec),F36*E36*NORMSINV(ConfLevel1+D36))</f>
        <v>4.2322352963935418E-2</v>
      </c>
      <c r="I36" s="7"/>
      <c r="J36" s="9"/>
      <c r="K36" s="9"/>
      <c r="L36" s="13"/>
      <c r="M36" s="6"/>
      <c r="N36" s="11"/>
      <c r="O36" s="12"/>
    </row>
    <row r="37" spans="2:15" ht="15.6" x14ac:dyDescent="0.3">
      <c r="B37" s="107">
        <f t="shared" si="4"/>
        <v>4</v>
      </c>
      <c r="C37" s="108" cm="1">
        <f t="array" ref="C37">cubic_spline($E$10:$E$14,$F$10:$F$14,B37,0)</f>
        <v>3.5000000149011612E-2</v>
      </c>
      <c r="D37" s="108">
        <f t="shared" si="0"/>
        <v>1.7935113916969114E-2</v>
      </c>
      <c r="E37" s="79">
        <f t="shared" si="1"/>
        <v>0.95026061431529907</v>
      </c>
      <c r="F37" s="109">
        <f t="shared" si="3"/>
        <v>0.02</v>
      </c>
      <c r="G37" s="120">
        <f t="shared" si="2"/>
        <v>1.8207067355232375E-2</v>
      </c>
      <c r="H37" s="121" cm="1">
        <f t="array" ref="H37">IF(D37&gt;(1-ConfLevel1),(1-Rec),F37*E37*NORMSINV(ConfLevel1+D37))</f>
        <v>3.5183904590643592E-2</v>
      </c>
      <c r="I37" s="7"/>
      <c r="J37" s="9"/>
      <c r="K37" s="9"/>
      <c r="L37" s="13"/>
      <c r="M37" s="6"/>
      <c r="N37" s="11"/>
      <c r="O37" s="12"/>
    </row>
    <row r="38" spans="2:15" ht="15.6" x14ac:dyDescent="0.3">
      <c r="B38" s="107">
        <f t="shared" si="4"/>
        <v>4.25</v>
      </c>
      <c r="C38" s="108" cm="1">
        <f t="array" ref="C38">cubic_spline($E$10:$E$14,$F$10:$F$14,B38,0)</f>
        <v>3.6250001037842587E-2</v>
      </c>
      <c r="D38" s="108">
        <f t="shared" si="0"/>
        <v>1.8344106946456606E-2</v>
      </c>
      <c r="E38" s="79">
        <f t="shared" si="1"/>
        <v>0.71471983422875784</v>
      </c>
      <c r="F38" s="109">
        <f t="shared" si="3"/>
        <v>2.0615528128088305E-2</v>
      </c>
      <c r="G38" s="120">
        <f t="shared" si="2"/>
        <v>1.6776780782100792E-2</v>
      </c>
      <c r="H38" s="121" cm="1">
        <f t="array" ref="H38">IF(D38&gt;(1-ConfLevel1),(1-Rec),F38*E38*NORMSINV(ConfLevel1+D38))</f>
        <v>2.7361579498389438E-2</v>
      </c>
      <c r="I38" s="7"/>
      <c r="J38" s="9"/>
      <c r="K38" s="9"/>
      <c r="L38" s="13"/>
      <c r="M38" s="6"/>
      <c r="N38" s="11"/>
      <c r="O38" s="12"/>
    </row>
    <row r="39" spans="2:15" ht="15.6" x14ac:dyDescent="0.3">
      <c r="B39" s="107">
        <f t="shared" si="4"/>
        <v>4.5</v>
      </c>
      <c r="C39" s="108" cm="1">
        <f t="array" ref="C39">cubic_spline($E$10:$E$14,$F$10:$F$14,B39,0)</f>
        <v>3.7499999876932366E-2</v>
      </c>
      <c r="D39" s="108">
        <f t="shared" si="0"/>
        <v>1.870585591792373E-2</v>
      </c>
      <c r="E39" s="79">
        <f t="shared" si="1"/>
        <v>0.4778819437369391</v>
      </c>
      <c r="F39" s="109">
        <f t="shared" si="3"/>
        <v>2.1213203435596423E-2</v>
      </c>
      <c r="G39" s="120">
        <f t="shared" si="2"/>
        <v>1.5192102798186918E-2</v>
      </c>
      <c r="H39" s="121" cm="1">
        <f t="array" ref="H39">IF(D39&gt;(1-ConfLevel1),(1-Rec),F39*E39*NORMSINV(ConfLevel1+D39))</f>
        <v>1.8876916289928658E-2</v>
      </c>
      <c r="I39" s="7"/>
      <c r="J39" s="9"/>
      <c r="K39" s="9"/>
      <c r="L39" s="13"/>
      <c r="M39" s="6"/>
      <c r="N39" s="11"/>
      <c r="O39" s="12"/>
    </row>
    <row r="40" spans="2:15" ht="15.6" x14ac:dyDescent="0.3">
      <c r="B40" s="107">
        <f t="shared" si="4"/>
        <v>4.75</v>
      </c>
      <c r="C40" s="108" cm="1">
        <f t="array" ref="C40">cubic_spline($E$10:$E$14,$F$10:$F$14,B40,0)</f>
        <v>3.8749999522614022E-2</v>
      </c>
      <c r="D40" s="108">
        <f t="shared" si="0"/>
        <v>1.9020393082859632E-2</v>
      </c>
      <c r="E40" s="79">
        <f t="shared" si="1"/>
        <v>0.23966855721493988</v>
      </c>
      <c r="F40" s="109">
        <f t="shared" si="3"/>
        <v>2.179449471770337E-2</v>
      </c>
      <c r="G40" s="120">
        <f t="shared" si="2"/>
        <v>1.3456457159571531E-2</v>
      </c>
      <c r="H40" s="121" cm="1">
        <f t="array" ref="H40">IF(D40&gt;(1-ConfLevel1),(1-Rec),F40*E40*NORMSINV(ConfLevel1+D40))</f>
        <v>9.7500360299015015E-3</v>
      </c>
      <c r="I40" s="7"/>
      <c r="J40" s="9"/>
      <c r="K40" s="9"/>
      <c r="L40" s="13"/>
      <c r="M40" s="6"/>
      <c r="N40" s="11"/>
      <c r="O40" s="12"/>
    </row>
    <row r="41" spans="2:15" ht="16.2" thickBot="1" x14ac:dyDescent="0.35">
      <c r="B41" s="110">
        <f t="shared" si="4"/>
        <v>5</v>
      </c>
      <c r="C41" s="111" cm="1">
        <f t="array" ref="C41">cubic_spline($E$10:$E$14,$F$10:$F$14,B41,0)</f>
        <v>3.9999999105930328E-2</v>
      </c>
      <c r="D41" s="111">
        <f t="shared" si="0"/>
        <v>1.9287893690506541E-2</v>
      </c>
      <c r="E41" s="112">
        <f t="shared" si="1"/>
        <v>0</v>
      </c>
      <c r="F41" s="113">
        <f t="shared" si="3"/>
        <v>2.2360679774997897E-2</v>
      </c>
      <c r="G41" s="122">
        <f>D41*LGD+(1-D41)*F41*E41/SQRT(2*PI())</f>
        <v>1.1572736214303924E-2</v>
      </c>
      <c r="H41" s="123" cm="1">
        <f t="array" ref="H41">IF(D41&gt;(1-ConfLevel1),(1-Rec),F41*E41*NORMSINV(ConfLevel1+D41))</f>
        <v>0</v>
      </c>
      <c r="I41" s="7"/>
      <c r="J41" s="9"/>
      <c r="K41" s="9"/>
      <c r="L41" s="13"/>
      <c r="M41" s="6"/>
      <c r="N41" s="11"/>
      <c r="O41" s="12"/>
    </row>
    <row r="42" spans="2:15" ht="15" x14ac:dyDescent="0.25">
      <c r="B42" s="18"/>
      <c r="C42" s="21"/>
      <c r="D42" s="18"/>
      <c r="E42" s="18"/>
      <c r="F42" s="18"/>
      <c r="G42" s="15"/>
      <c r="H42" s="14"/>
      <c r="I42" s="7"/>
    </row>
    <row r="43" spans="2:15" ht="15" x14ac:dyDescent="0.25">
      <c r="B43" s="18"/>
      <c r="C43" s="21"/>
      <c r="D43" s="22"/>
      <c r="E43" s="18"/>
      <c r="F43" s="18"/>
      <c r="G43" s="15"/>
      <c r="H43" s="14"/>
      <c r="I43" s="7"/>
    </row>
    <row r="44" spans="2:15" ht="15" x14ac:dyDescent="0.25">
      <c r="B44" s="18"/>
      <c r="C44" s="21"/>
      <c r="D44" s="18"/>
      <c r="E44" s="14"/>
      <c r="F44" s="14"/>
      <c r="G44" s="15"/>
      <c r="H44" s="14"/>
      <c r="I44" s="7"/>
    </row>
    <row r="45" spans="2:15" ht="15" x14ac:dyDescent="0.25">
      <c r="B45" s="18"/>
      <c r="C45" s="21"/>
      <c r="D45" s="18"/>
      <c r="E45" s="14"/>
      <c r="F45" s="14"/>
      <c r="G45" s="15"/>
      <c r="H45" s="14"/>
      <c r="I45" s="7"/>
    </row>
    <row r="46" spans="2:15" ht="15" x14ac:dyDescent="0.25">
      <c r="B46" s="18"/>
      <c r="C46" s="21"/>
      <c r="D46" s="18"/>
      <c r="E46" s="14"/>
      <c r="F46" s="14"/>
      <c r="G46" s="15"/>
      <c r="H46" s="14"/>
      <c r="I46" s="7"/>
    </row>
    <row r="47" spans="2:15" ht="15" x14ac:dyDescent="0.25">
      <c r="B47" s="18"/>
      <c r="C47" s="21"/>
      <c r="D47" s="18"/>
      <c r="E47" s="14"/>
      <c r="F47" s="14"/>
      <c r="G47" s="15"/>
      <c r="H47" s="14"/>
      <c r="I47" s="7"/>
    </row>
    <row r="48" spans="2:15" ht="15" x14ac:dyDescent="0.25">
      <c r="B48" s="18"/>
      <c r="C48" s="21"/>
      <c r="D48" s="18"/>
      <c r="E48" s="14"/>
      <c r="F48" s="14"/>
      <c r="G48" s="15"/>
      <c r="H48" s="14"/>
      <c r="I48" s="7"/>
    </row>
    <row r="49" spans="2:9" ht="15" x14ac:dyDescent="0.25">
      <c r="B49" s="18"/>
      <c r="C49" s="21"/>
      <c r="D49" s="18"/>
      <c r="E49" s="14"/>
      <c r="F49" s="14"/>
      <c r="G49" s="15"/>
      <c r="H49" s="14"/>
      <c r="I49" s="7"/>
    </row>
    <row r="50" spans="2:9" ht="15" x14ac:dyDescent="0.25">
      <c r="B50" s="18"/>
      <c r="C50" s="21"/>
      <c r="D50" s="18"/>
      <c r="E50" s="14"/>
      <c r="F50" s="14"/>
      <c r="G50" s="15"/>
      <c r="H50" s="14"/>
      <c r="I50" s="7"/>
    </row>
    <row r="51" spans="2:9" ht="15" x14ac:dyDescent="0.25">
      <c r="B51" s="18"/>
      <c r="C51" s="21"/>
      <c r="D51" s="18"/>
      <c r="E51" s="14"/>
      <c r="F51" s="14"/>
      <c r="G51" s="15"/>
      <c r="H51" s="14"/>
      <c r="I51" s="7"/>
    </row>
    <row r="52" spans="2:9" ht="15" x14ac:dyDescent="0.25">
      <c r="B52" s="18"/>
      <c r="C52" s="21"/>
      <c r="D52" s="18"/>
      <c r="E52" s="14"/>
      <c r="F52" s="14"/>
      <c r="G52" s="15"/>
      <c r="H52" s="14"/>
      <c r="I52" s="7"/>
    </row>
    <row r="53" spans="2:9" ht="15" x14ac:dyDescent="0.25">
      <c r="B53" s="18"/>
      <c r="C53" s="21"/>
      <c r="D53" s="18"/>
      <c r="E53" s="14"/>
      <c r="F53" s="14"/>
      <c r="G53" s="15"/>
      <c r="H53" s="14"/>
      <c r="I53" s="7"/>
    </row>
    <row r="54" spans="2:9" ht="15" x14ac:dyDescent="0.25">
      <c r="B54" s="18"/>
      <c r="C54" s="21"/>
      <c r="D54" s="18"/>
      <c r="E54" s="14"/>
      <c r="F54" s="14"/>
      <c r="G54" s="15"/>
      <c r="H54" s="14"/>
      <c r="I54" s="7"/>
    </row>
    <row r="55" spans="2:9" ht="15" x14ac:dyDescent="0.25">
      <c r="B55" s="18"/>
      <c r="C55" s="21"/>
      <c r="D55" s="18"/>
      <c r="E55" s="14"/>
      <c r="F55" s="14"/>
      <c r="G55" s="15"/>
      <c r="H55" s="14"/>
      <c r="I55" s="7"/>
    </row>
    <row r="56" spans="2:9" ht="15" x14ac:dyDescent="0.25">
      <c r="B56" s="18"/>
      <c r="C56" s="21"/>
      <c r="D56" s="18"/>
      <c r="E56" s="14"/>
      <c r="F56" s="14"/>
      <c r="G56" s="15"/>
      <c r="H56" s="14"/>
      <c r="I56" s="7"/>
    </row>
    <row r="57" spans="2:9" ht="15" x14ac:dyDescent="0.25">
      <c r="B57" s="18"/>
      <c r="C57" s="21"/>
      <c r="D57" s="18"/>
      <c r="E57" s="14"/>
      <c r="F57" s="14"/>
      <c r="G57" s="15"/>
      <c r="H57" s="14"/>
      <c r="I57" s="7"/>
    </row>
    <row r="58" spans="2:9" ht="15" x14ac:dyDescent="0.25">
      <c r="B58" s="18"/>
      <c r="C58" s="21"/>
      <c r="D58" s="18"/>
      <c r="E58" s="14"/>
      <c r="F58" s="14"/>
      <c r="G58" s="15"/>
      <c r="H58" s="14"/>
      <c r="I58" s="7"/>
    </row>
    <row r="59" spans="2:9" ht="15" x14ac:dyDescent="0.25">
      <c r="B59" s="18"/>
      <c r="C59" s="21"/>
      <c r="D59" s="18"/>
      <c r="E59" s="14"/>
      <c r="F59" s="14"/>
      <c r="G59" s="15"/>
      <c r="H59" s="14"/>
      <c r="I59" s="7"/>
    </row>
    <row r="60" spans="2:9" ht="15" x14ac:dyDescent="0.25">
      <c r="B60" s="18"/>
      <c r="C60" s="21"/>
      <c r="D60" s="18"/>
      <c r="E60" s="14"/>
      <c r="F60" s="14"/>
      <c r="G60" s="15"/>
      <c r="H60" s="14"/>
      <c r="I60" s="7"/>
    </row>
    <row r="61" spans="2:9" ht="15" x14ac:dyDescent="0.25">
      <c r="B61" s="18"/>
      <c r="C61" s="21"/>
      <c r="D61" s="18"/>
      <c r="E61" s="14"/>
      <c r="F61" s="14"/>
      <c r="G61" s="15"/>
      <c r="H61" s="14"/>
      <c r="I61" s="7"/>
    </row>
    <row r="62" spans="2:9" ht="15" x14ac:dyDescent="0.25">
      <c r="B62" s="18"/>
      <c r="C62" s="21"/>
      <c r="D62" s="18"/>
      <c r="E62" s="14"/>
      <c r="F62" s="14"/>
      <c r="G62" s="15"/>
      <c r="H62" s="14"/>
      <c r="I62" s="7"/>
    </row>
    <row r="63" spans="2:9" ht="15" x14ac:dyDescent="0.25">
      <c r="B63" s="18"/>
      <c r="C63" s="21"/>
      <c r="D63" s="18"/>
      <c r="E63" s="14"/>
      <c r="F63" s="14"/>
      <c r="G63" s="15"/>
      <c r="H63" s="14"/>
      <c r="I63" s="7"/>
    </row>
    <row r="64" spans="2:9" ht="15" x14ac:dyDescent="0.25">
      <c r="B64" s="18"/>
      <c r="C64" s="21"/>
      <c r="D64" s="18"/>
      <c r="E64" s="14"/>
      <c r="F64" s="14"/>
      <c r="G64" s="15"/>
      <c r="H64" s="14"/>
      <c r="I64" s="7"/>
    </row>
    <row r="65" spans="2:9" ht="15" x14ac:dyDescent="0.25">
      <c r="B65" s="18"/>
      <c r="C65" s="21"/>
      <c r="D65" s="18"/>
      <c r="E65" s="14"/>
      <c r="F65" s="14"/>
      <c r="G65" s="15"/>
      <c r="H65" s="14"/>
      <c r="I65" s="7"/>
    </row>
    <row r="66" spans="2:9" ht="15" x14ac:dyDescent="0.25">
      <c r="B66" s="18"/>
      <c r="C66" s="21"/>
      <c r="D66" s="18"/>
      <c r="E66" s="14"/>
      <c r="F66" s="14"/>
      <c r="G66" s="15"/>
      <c r="H66" s="14"/>
      <c r="I66" s="7"/>
    </row>
    <row r="67" spans="2:9" ht="15" x14ac:dyDescent="0.25">
      <c r="B67" s="18"/>
      <c r="C67" s="21"/>
      <c r="D67" s="18"/>
      <c r="E67" s="14"/>
      <c r="F67" s="14"/>
      <c r="G67" s="15"/>
      <c r="H67" s="14"/>
      <c r="I67" s="7"/>
    </row>
    <row r="68" spans="2:9" ht="15" x14ac:dyDescent="0.25">
      <c r="B68" s="18"/>
      <c r="C68" s="21"/>
      <c r="D68" s="18"/>
      <c r="E68" s="14"/>
      <c r="F68" s="14"/>
      <c r="G68" s="15"/>
      <c r="H68" s="14"/>
      <c r="I68" s="7"/>
    </row>
    <row r="69" spans="2:9" ht="15" x14ac:dyDescent="0.25">
      <c r="B69" s="18"/>
      <c r="C69" s="21"/>
      <c r="D69" s="18"/>
      <c r="E69" s="14"/>
      <c r="F69" s="14"/>
      <c r="G69" s="15"/>
      <c r="H69" s="14"/>
      <c r="I69" s="7"/>
    </row>
    <row r="70" spans="2:9" ht="15" x14ac:dyDescent="0.25">
      <c r="B70" s="18"/>
      <c r="C70" s="14"/>
      <c r="D70" s="14"/>
      <c r="E70" s="14"/>
      <c r="F70" s="14"/>
      <c r="G70" s="15"/>
      <c r="H70" s="14"/>
      <c r="I70" s="7"/>
    </row>
    <row r="71" spans="2:9" ht="15" x14ac:dyDescent="0.25">
      <c r="B71" s="18"/>
      <c r="C71" s="14"/>
      <c r="D71" s="14"/>
      <c r="E71" s="14"/>
      <c r="F71" s="14"/>
      <c r="G71" s="15"/>
      <c r="H71" s="14"/>
      <c r="I71" s="7"/>
    </row>
    <row r="72" spans="2:9" ht="15" x14ac:dyDescent="0.25">
      <c r="B72" s="18"/>
      <c r="C72" s="14"/>
      <c r="D72" s="14"/>
      <c r="E72" s="14"/>
      <c r="F72" s="14"/>
      <c r="G72" s="15"/>
      <c r="H72" s="14"/>
      <c r="I72" s="7"/>
    </row>
    <row r="73" spans="2:9" ht="15" x14ac:dyDescent="0.25">
      <c r="B73" s="18"/>
      <c r="C73" s="14"/>
      <c r="D73" s="14"/>
      <c r="E73" s="14"/>
      <c r="F73" s="14"/>
      <c r="G73" s="15"/>
      <c r="H73" s="14"/>
      <c r="I73" s="7"/>
    </row>
    <row r="74" spans="2:9" ht="15" x14ac:dyDescent="0.25">
      <c r="B74" s="18"/>
      <c r="C74" s="14"/>
      <c r="D74" s="14"/>
      <c r="E74" s="14"/>
      <c r="F74" s="14"/>
      <c r="G74" s="15"/>
      <c r="H74" s="14"/>
      <c r="I74" s="7"/>
    </row>
    <row r="75" spans="2:9" ht="15" x14ac:dyDescent="0.25">
      <c r="B75" s="18"/>
      <c r="C75" s="14"/>
      <c r="D75" s="14"/>
      <c r="E75" s="14"/>
      <c r="F75" s="14"/>
      <c r="G75" s="15"/>
      <c r="H75" s="14"/>
      <c r="I75" s="7"/>
    </row>
    <row r="76" spans="2:9" ht="15" x14ac:dyDescent="0.25">
      <c r="B76" s="18"/>
      <c r="C76" s="14"/>
      <c r="D76" s="14"/>
      <c r="E76" s="14"/>
      <c r="F76" s="14"/>
      <c r="G76" s="15"/>
      <c r="H76" s="14"/>
      <c r="I76" s="7"/>
    </row>
    <row r="77" spans="2:9" ht="15" x14ac:dyDescent="0.25">
      <c r="B77" s="18"/>
      <c r="C77" s="14"/>
      <c r="D77" s="14"/>
      <c r="E77" s="14"/>
      <c r="F77" s="14"/>
      <c r="G77" s="15"/>
      <c r="H77" s="14"/>
      <c r="I77" s="7"/>
    </row>
    <row r="78" spans="2:9" ht="15" x14ac:dyDescent="0.25">
      <c r="B78" s="18"/>
      <c r="C78" s="14"/>
      <c r="D78" s="14"/>
      <c r="E78" s="14"/>
      <c r="F78" s="14"/>
      <c r="G78" s="15"/>
      <c r="H78" s="14"/>
      <c r="I78" s="7"/>
    </row>
    <row r="79" spans="2:9" ht="15" x14ac:dyDescent="0.25">
      <c r="B79" s="18"/>
      <c r="C79" s="14"/>
      <c r="D79" s="14"/>
      <c r="E79" s="14"/>
      <c r="F79" s="14"/>
      <c r="G79" s="15"/>
      <c r="H79" s="14"/>
      <c r="I79" s="7"/>
    </row>
    <row r="80" spans="2:9" ht="15" x14ac:dyDescent="0.25">
      <c r="B80" s="18"/>
      <c r="C80" s="14"/>
      <c r="D80" s="14"/>
      <c r="E80" s="14"/>
      <c r="F80" s="14"/>
      <c r="G80" s="15"/>
      <c r="H80" s="14"/>
      <c r="I80" s="7"/>
    </row>
    <row r="81" spans="2:9" ht="15" x14ac:dyDescent="0.25">
      <c r="B81" s="18"/>
      <c r="C81" s="14"/>
      <c r="D81" s="14"/>
      <c r="E81" s="14"/>
      <c r="F81" s="14"/>
      <c r="G81" s="15"/>
      <c r="H81" s="14"/>
      <c r="I81" s="7"/>
    </row>
    <row r="82" spans="2:9" x14ac:dyDescent="0.25">
      <c r="B82" s="18"/>
      <c r="C82" s="14"/>
      <c r="D82" s="14"/>
      <c r="E82" s="14"/>
      <c r="F82" s="14"/>
      <c r="G82" s="15"/>
      <c r="H82" s="14"/>
    </row>
    <row r="83" spans="2:9" x14ac:dyDescent="0.25">
      <c r="B83" s="5"/>
      <c r="G83" s="3"/>
    </row>
    <row r="84" spans="2:9" x14ac:dyDescent="0.25">
      <c r="B84" s="5"/>
      <c r="G84" s="3"/>
    </row>
    <row r="85" spans="2:9" x14ac:dyDescent="0.25">
      <c r="B85" s="5"/>
      <c r="G85" s="3"/>
    </row>
    <row r="86" spans="2:9" x14ac:dyDescent="0.25">
      <c r="B86" s="5"/>
      <c r="G86" s="3"/>
    </row>
    <row r="87" spans="2:9" x14ac:dyDescent="0.25">
      <c r="B87" s="5"/>
      <c r="G87" s="3"/>
    </row>
    <row r="88" spans="2:9" x14ac:dyDescent="0.25">
      <c r="B88" s="5"/>
      <c r="G88" s="3"/>
    </row>
    <row r="89" spans="2:9" x14ac:dyDescent="0.25">
      <c r="B89" s="5"/>
      <c r="G89" s="3"/>
    </row>
    <row r="90" spans="2:9" x14ac:dyDescent="0.25">
      <c r="B90" s="5"/>
      <c r="G90" s="3"/>
    </row>
    <row r="91" spans="2:9" x14ac:dyDescent="0.25">
      <c r="B91" s="5"/>
      <c r="G91" s="3"/>
    </row>
    <row r="92" spans="2:9" x14ac:dyDescent="0.25">
      <c r="G92" s="3"/>
    </row>
    <row r="93" spans="2:9" x14ac:dyDescent="0.25">
      <c r="G93" s="3"/>
    </row>
    <row r="94" spans="2:9" x14ac:dyDescent="0.25">
      <c r="G94" s="3"/>
    </row>
    <row r="95" spans="2:9" x14ac:dyDescent="0.25">
      <c r="G95" s="3"/>
    </row>
    <row r="96" spans="2:9" x14ac:dyDescent="0.25">
      <c r="G96" s="3"/>
    </row>
    <row r="97" spans="7:7" x14ac:dyDescent="0.25">
      <c r="G97" s="3"/>
    </row>
    <row r="98" spans="7:7" x14ac:dyDescent="0.25">
      <c r="G98" s="3"/>
    </row>
    <row r="99" spans="7:7" x14ac:dyDescent="0.25">
      <c r="G99" s="3"/>
    </row>
  </sheetData>
  <mergeCells count="2">
    <mergeCell ref="B9:C9"/>
    <mergeCell ref="E9:F9"/>
  </mergeCells>
  <pageMargins left="0.75" right="0.75" top="1" bottom="1" header="0.5" footer="0.5"/>
  <pageSetup paperSize="9" orientation="portrait" horizontalDpi="200" verticalDpi="200" copies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P99"/>
  <sheetViews>
    <sheetView showGridLines="0" zoomScaleNormal="100" workbookViewId="0">
      <pane ySplit="7" topLeftCell="A8" activePane="bottomLeft" state="frozen"/>
      <selection pane="bottomLeft" activeCell="F9" sqref="F9"/>
    </sheetView>
  </sheetViews>
  <sheetFormatPr defaultRowHeight="13.2" x14ac:dyDescent="0.25"/>
  <cols>
    <col min="2" max="2" width="17" bestFit="1" customWidth="1"/>
    <col min="3" max="3" width="10.88671875" customWidth="1"/>
    <col min="4" max="4" width="13.5546875" customWidth="1"/>
    <col min="5" max="5" width="12.6640625" bestFit="1" customWidth="1"/>
    <col min="6" max="6" width="14.88671875" customWidth="1"/>
  </cols>
  <sheetData>
    <row r="1" spans="1:16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3.8" thickBot="1" x14ac:dyDescent="0.3"/>
    <row r="9" spans="1:16" ht="15" thickBot="1" x14ac:dyDescent="0.35">
      <c r="B9" s="172" t="s">
        <v>0</v>
      </c>
      <c r="C9" s="173"/>
      <c r="D9" s="14"/>
      <c r="E9" s="14"/>
      <c r="F9" s="14"/>
      <c r="G9" s="14"/>
      <c r="H9" s="14"/>
    </row>
    <row r="10" spans="1:16" ht="14.4" x14ac:dyDescent="0.3">
      <c r="B10" s="89" t="s">
        <v>36</v>
      </c>
      <c r="C10" s="129">
        <v>0.01</v>
      </c>
      <c r="D10" s="14"/>
      <c r="E10" s="73" t="s">
        <v>65</v>
      </c>
      <c r="F10" s="14"/>
      <c r="G10" s="14"/>
      <c r="H10" s="14"/>
    </row>
    <row r="11" spans="1:16" ht="14.4" x14ac:dyDescent="0.3">
      <c r="B11" s="92" t="s">
        <v>37</v>
      </c>
      <c r="C11" s="115">
        <v>0.01</v>
      </c>
      <c r="E11" s="73" t="s">
        <v>66</v>
      </c>
      <c r="F11" s="14"/>
      <c r="G11" s="15"/>
      <c r="H11" s="16"/>
      <c r="I11" s="4"/>
      <c r="J11" s="2"/>
    </row>
    <row r="12" spans="1:16" ht="14.4" x14ac:dyDescent="0.3">
      <c r="B12" s="92" t="s">
        <v>9</v>
      </c>
      <c r="C12" s="115">
        <v>0.1</v>
      </c>
      <c r="D12" s="14"/>
      <c r="E12" s="73" t="s">
        <v>67</v>
      </c>
      <c r="F12" s="14"/>
      <c r="G12" s="15"/>
      <c r="H12" s="14"/>
      <c r="I12" s="4"/>
      <c r="J12" s="3"/>
    </row>
    <row r="13" spans="1:16" ht="15" thickBot="1" x14ac:dyDescent="0.35">
      <c r="B13" s="93" t="s">
        <v>10</v>
      </c>
      <c r="C13" s="130">
        <v>0.25</v>
      </c>
      <c r="D13" s="14"/>
      <c r="E13" s="73" t="s">
        <v>68</v>
      </c>
      <c r="F13" s="14"/>
      <c r="G13" s="15"/>
      <c r="H13" s="14"/>
    </row>
    <row r="14" spans="1:16" ht="13.8" thickBot="1" x14ac:dyDescent="0.3">
      <c r="A14" s="14"/>
      <c r="B14" s="14"/>
      <c r="F14" s="14"/>
      <c r="G14" s="15"/>
      <c r="H14" s="14"/>
    </row>
    <row r="15" spans="1:16" ht="15" thickBot="1" x14ac:dyDescent="0.35">
      <c r="B15" s="71"/>
      <c r="C15" s="101" t="s">
        <v>39</v>
      </c>
      <c r="D15" s="101" t="s">
        <v>40</v>
      </c>
      <c r="E15" s="102" t="s">
        <v>7</v>
      </c>
      <c r="F15" s="124" t="s">
        <v>38</v>
      </c>
      <c r="G15" s="15"/>
      <c r="H15" s="14"/>
    </row>
    <row r="16" spans="1:16" ht="14.4" x14ac:dyDescent="0.3">
      <c r="B16" s="74">
        <v>0</v>
      </c>
      <c r="C16" s="125">
        <f t="shared" ref="C16:C47" si="0">SQRT(0.5/PI())*SQRT(B16)*(10-B16)*IRVol</f>
        <v>0</v>
      </c>
      <c r="D16" s="125">
        <f t="shared" ref="D16:D47" si="1">SQRT(0.5/PI())*SQRT(B16)*(10-B16)*IRVol2</f>
        <v>0</v>
      </c>
      <c r="E16" s="79">
        <f t="shared" ref="E16:E47" si="2">SQRT(0.5/PI())*FXVol*SQRT(B16)</f>
        <v>0</v>
      </c>
      <c r="F16" s="126">
        <f t="shared" ref="F16:F47" si="3">SQRT(0.5/PI())*SQRT(B16*(10-B16)^2*IRVol^2+B16*(10-B16)^2*IRVol2^2+FXVol^2*B16+2*IRFXCorr*B16*(10-B16)*IRVol*FXVol+2*IRFXCorr*B16*(10-B16)*IRVol2*FXVol+2*IRFXCorr*B16*(10-B16)^2*IRVol*IRVol2)</f>
        <v>0</v>
      </c>
      <c r="G16" s="15"/>
      <c r="H16" s="14"/>
    </row>
    <row r="17" spans="2:8" ht="14.4" x14ac:dyDescent="0.3">
      <c r="B17" s="74">
        <v>0.05</v>
      </c>
      <c r="C17" s="125">
        <f t="shared" si="0"/>
        <v>8.8760174778600362E-3</v>
      </c>
      <c r="D17" s="125">
        <f t="shared" si="1"/>
        <v>8.8760174778600362E-3</v>
      </c>
      <c r="E17" s="79">
        <f t="shared" si="2"/>
        <v>8.920620580763856E-3</v>
      </c>
      <c r="F17" s="126">
        <f t="shared" si="3"/>
        <v>1.8860441972614474E-2</v>
      </c>
      <c r="G17" s="15"/>
      <c r="H17" s="14"/>
    </row>
    <row r="18" spans="2:8" ht="14.4" x14ac:dyDescent="0.3">
      <c r="B18" s="74">
        <v>0.1</v>
      </c>
      <c r="C18" s="125">
        <f t="shared" si="0"/>
        <v>1.2489505983999795E-2</v>
      </c>
      <c r="D18" s="125">
        <f t="shared" si="1"/>
        <v>1.2489505983999795E-2</v>
      </c>
      <c r="E18" s="79">
        <f t="shared" si="2"/>
        <v>1.2615662610100803E-2</v>
      </c>
      <c r="F18" s="126">
        <f t="shared" si="3"/>
        <v>2.6583599005096895E-2</v>
      </c>
      <c r="G18" s="15"/>
      <c r="H18" s="14"/>
    </row>
    <row r="19" spans="2:8" ht="14.4" x14ac:dyDescent="0.3">
      <c r="B19" s="74">
        <v>0.2</v>
      </c>
      <c r="C19" s="125">
        <f>SQRT(0.5/PI())*SQRT(B19)*(10-B19)*IRVol</f>
        <v>1.748441633829716E-2</v>
      </c>
      <c r="D19" s="125">
        <f>SQRT(0.5/PI())*SQRT(B19)*(10-B19)*IRVol2</f>
        <v>1.748441633829716E-2</v>
      </c>
      <c r="E19" s="79">
        <f>SQRT(0.5/PI())*FXVol*SQRT(B19)</f>
        <v>1.7841241161527712E-2</v>
      </c>
      <c r="F19" s="126">
        <f t="shared" si="3"/>
        <v>3.7343213725805485E-2</v>
      </c>
      <c r="G19" s="15"/>
      <c r="H19" s="18"/>
    </row>
    <row r="20" spans="2:8" ht="14.4" x14ac:dyDescent="0.3">
      <c r="B20" s="74">
        <v>0.3</v>
      </c>
      <c r="C20" s="125">
        <f>SQRT(0.5/PI())*SQRT(B20)*(10-B20)*IRVol</f>
        <v>2.1195439553486333E-2</v>
      </c>
      <c r="D20" s="125">
        <f>SQRT(0.5/PI())*SQRT(B20)*(10-B20)*IRVol2</f>
        <v>2.1195439553486333E-2</v>
      </c>
      <c r="E20" s="79">
        <f>SQRT(0.5/PI())*FXVol*SQRT(B20)</f>
        <v>2.1850968611841583E-2</v>
      </c>
      <c r="F20" s="126">
        <f t="shared" si="3"/>
        <v>4.5428211040462886E-2</v>
      </c>
      <c r="G20" s="15"/>
      <c r="H20" s="14"/>
    </row>
    <row r="21" spans="2:8" ht="14.4" x14ac:dyDescent="0.3">
      <c r="B21" s="74">
        <v>0.4</v>
      </c>
      <c r="C21" s="125">
        <f t="shared" si="0"/>
        <v>2.4222072211393539E-2</v>
      </c>
      <c r="D21" s="125">
        <f t="shared" si="1"/>
        <v>2.4222072211393539E-2</v>
      </c>
      <c r="E21" s="79">
        <f t="shared" si="2"/>
        <v>2.5231325220201606E-2</v>
      </c>
      <c r="F21" s="126">
        <f t="shared" si="3"/>
        <v>5.2101311973647729E-2</v>
      </c>
      <c r="G21" s="15"/>
      <c r="H21" s="14"/>
    </row>
    <row r="22" spans="2:8" ht="14.4" x14ac:dyDescent="0.3">
      <c r="B22" s="74">
        <f t="shared" ref="B22:B39" si="4">B21+0.2</f>
        <v>0.60000000000000009</v>
      </c>
      <c r="C22" s="125">
        <f t="shared" si="0"/>
        <v>2.9047819992143863E-2</v>
      </c>
      <c r="D22" s="125">
        <f t="shared" si="1"/>
        <v>2.9047819992143863E-2</v>
      </c>
      <c r="E22" s="79">
        <f t="shared" si="2"/>
        <v>3.0901936161855173E-2</v>
      </c>
      <c r="F22" s="126">
        <f t="shared" si="3"/>
        <v>6.2944444975944022E-2</v>
      </c>
      <c r="G22" s="15"/>
      <c r="H22" s="14"/>
    </row>
    <row r="23" spans="2:8" ht="14.4" x14ac:dyDescent="0.3">
      <c r="B23" s="74">
        <f t="shared" si="4"/>
        <v>0.8</v>
      </c>
      <c r="C23" s="125">
        <f t="shared" si="0"/>
        <v>3.2827883737210989E-2</v>
      </c>
      <c r="D23" s="125">
        <f t="shared" si="1"/>
        <v>3.2827883737210989E-2</v>
      </c>
      <c r="E23" s="79">
        <f t="shared" si="2"/>
        <v>3.5682482323055424E-2</v>
      </c>
      <c r="F23" s="126">
        <f t="shared" si="3"/>
        <v>7.1685387650141902E-2</v>
      </c>
      <c r="G23" s="15"/>
      <c r="H23" s="14"/>
    </row>
    <row r="24" spans="2:8" ht="14.4" x14ac:dyDescent="0.3">
      <c r="B24" s="74">
        <f t="shared" si="4"/>
        <v>1</v>
      </c>
      <c r="C24" s="125">
        <f t="shared" si="0"/>
        <v>3.5904805236128941E-2</v>
      </c>
      <c r="D24" s="125">
        <f t="shared" si="1"/>
        <v>3.5904805236128941E-2</v>
      </c>
      <c r="E24" s="79">
        <f t="shared" si="2"/>
        <v>3.9894228040143274E-2</v>
      </c>
      <c r="F24" s="126">
        <f t="shared" si="3"/>
        <v>7.9036899713721645E-2</v>
      </c>
      <c r="G24" s="15"/>
      <c r="H24" s="14"/>
    </row>
    <row r="25" spans="2:8" ht="14.4" x14ac:dyDescent="0.3">
      <c r="B25" s="74">
        <f t="shared" si="4"/>
        <v>1.2</v>
      </c>
      <c r="C25" s="125">
        <f t="shared" si="0"/>
        <v>3.8457704756841189E-2</v>
      </c>
      <c r="D25" s="125">
        <f t="shared" si="1"/>
        <v>3.8457704756841189E-2</v>
      </c>
      <c r="E25" s="79">
        <f t="shared" si="2"/>
        <v>4.3701937223683165E-2</v>
      </c>
      <c r="F25" s="126">
        <f t="shared" si="3"/>
        <v>8.5369919491962001E-2</v>
      </c>
      <c r="G25" s="15"/>
      <c r="H25" s="14"/>
    </row>
    <row r="26" spans="2:8" ht="14.4" x14ac:dyDescent="0.3">
      <c r="B26" s="74">
        <f t="shared" si="4"/>
        <v>1.4</v>
      </c>
      <c r="C26" s="125">
        <f t="shared" si="0"/>
        <v>4.0594998986953075E-2</v>
      </c>
      <c r="D26" s="125">
        <f t="shared" si="1"/>
        <v>4.0594998986953075E-2</v>
      </c>
      <c r="E26" s="79">
        <f t="shared" si="2"/>
        <v>4.7203487194131491E-2</v>
      </c>
      <c r="F26" s="126">
        <f t="shared" si="3"/>
        <v>9.0908083111403012E-2</v>
      </c>
      <c r="G26" s="15"/>
      <c r="H26" s="14"/>
    </row>
    <row r="27" spans="2:8" ht="14.4" x14ac:dyDescent="0.3">
      <c r="B27" s="74">
        <f t="shared" si="4"/>
        <v>1.5999999999999999</v>
      </c>
      <c r="C27" s="125">
        <f t="shared" si="0"/>
        <v>4.2388626369938696E-2</v>
      </c>
      <c r="D27" s="125">
        <f t="shared" si="1"/>
        <v>4.2388626369938696E-2</v>
      </c>
      <c r="E27" s="79">
        <f t="shared" si="2"/>
        <v>5.0462650440403212E-2</v>
      </c>
      <c r="F27" s="126">
        <f t="shared" si="3"/>
        <v>9.5799324832960345E-2</v>
      </c>
      <c r="G27" s="15"/>
      <c r="H27" s="14"/>
    </row>
    <row r="28" spans="2:8" ht="14.4" x14ac:dyDescent="0.3">
      <c r="B28" s="74">
        <f t="shared" si="4"/>
        <v>1.7999999999999998</v>
      </c>
      <c r="C28" s="125">
        <f t="shared" si="0"/>
        <v>4.3889453257358178E-2</v>
      </c>
      <c r="D28" s="125">
        <f t="shared" si="1"/>
        <v>4.3889453257358178E-2</v>
      </c>
      <c r="E28" s="79">
        <f t="shared" si="2"/>
        <v>5.3523723484583147E-2</v>
      </c>
      <c r="F28" s="126">
        <f t="shared" si="3"/>
        <v>0.10014802146705176</v>
      </c>
      <c r="G28" s="15"/>
      <c r="H28" s="14"/>
    </row>
    <row r="29" spans="2:8" ht="14.4" x14ac:dyDescent="0.3">
      <c r="B29" s="74">
        <f t="shared" si="4"/>
        <v>1.9999999999999998</v>
      </c>
      <c r="C29" s="125">
        <f t="shared" si="0"/>
        <v>4.5135166683820505E-2</v>
      </c>
      <c r="D29" s="125">
        <f t="shared" si="1"/>
        <v>4.5135166683820505E-2</v>
      </c>
      <c r="E29" s="79">
        <f t="shared" si="2"/>
        <v>5.6418958354775631E-2</v>
      </c>
      <c r="F29" s="126">
        <f t="shared" si="3"/>
        <v>0.104031418957202</v>
      </c>
      <c r="G29" s="15"/>
      <c r="H29" s="14"/>
    </row>
    <row r="30" spans="2:8" ht="14.4" x14ac:dyDescent="0.3">
      <c r="B30" s="74">
        <f t="shared" si="4"/>
        <v>2.1999999999999997</v>
      </c>
      <c r="C30" s="125">
        <f t="shared" si="0"/>
        <v>4.6154708127084935E-2</v>
      </c>
      <c r="D30" s="125">
        <f t="shared" si="1"/>
        <v>4.6154708127084935E-2</v>
      </c>
      <c r="E30" s="79">
        <f t="shared" si="2"/>
        <v>5.9172702727031977E-2</v>
      </c>
      <c r="F30" s="126">
        <f t="shared" si="3"/>
        <v>0.10750883813538135</v>
      </c>
      <c r="G30" s="15"/>
      <c r="H30" s="14"/>
    </row>
    <row r="31" spans="2:8" ht="14.4" x14ac:dyDescent="0.3">
      <c r="B31" s="74">
        <f t="shared" si="4"/>
        <v>2.4</v>
      </c>
      <c r="C31" s="125">
        <f t="shared" si="0"/>
        <v>4.6970942966019856E-2</v>
      </c>
      <c r="D31" s="125">
        <f t="shared" si="1"/>
        <v>4.6970942966019856E-2</v>
      </c>
      <c r="E31" s="79">
        <f t="shared" si="2"/>
        <v>6.1803872323710346E-2</v>
      </c>
      <c r="F31" s="126">
        <f t="shared" si="3"/>
        <v>0.11062720508082262</v>
      </c>
      <c r="G31" s="15"/>
      <c r="H31" s="14"/>
    </row>
    <row r="32" spans="2:8" ht="14.4" x14ac:dyDescent="0.3">
      <c r="B32" s="74">
        <f t="shared" si="4"/>
        <v>2.6</v>
      </c>
      <c r="C32" s="125">
        <f t="shared" si="0"/>
        <v>4.7602357271097094E-2</v>
      </c>
      <c r="D32" s="125">
        <f t="shared" si="1"/>
        <v>4.7602357271097094E-2</v>
      </c>
      <c r="E32" s="79">
        <f t="shared" si="2"/>
        <v>6.4327509825806886E-2</v>
      </c>
      <c r="F32" s="126">
        <f t="shared" si="3"/>
        <v>0.11342455937710434</v>
      </c>
      <c r="G32" s="15"/>
      <c r="H32" s="14"/>
    </row>
    <row r="33" spans="2:8" ht="14.4" x14ac:dyDescent="0.3">
      <c r="B33" s="74">
        <f t="shared" si="4"/>
        <v>2.8000000000000003</v>
      </c>
      <c r="C33" s="125">
        <f t="shared" si="0"/>
        <v>4.8064184482496719E-2</v>
      </c>
      <c r="D33" s="125">
        <f t="shared" si="1"/>
        <v>4.8064184482496719E-2</v>
      </c>
      <c r="E33" s="79">
        <f t="shared" si="2"/>
        <v>6.6755811781245469E-2</v>
      </c>
      <c r="F33" s="126">
        <f t="shared" si="3"/>
        <v>0.11593237957630466</v>
      </c>
      <c r="G33" s="15"/>
      <c r="H33" s="14"/>
    </row>
    <row r="34" spans="2:8" ht="14.4" x14ac:dyDescent="0.3">
      <c r="B34" s="74">
        <f t="shared" si="4"/>
        <v>3.0000000000000004</v>
      </c>
      <c r="C34" s="125">
        <f t="shared" si="0"/>
        <v>4.8369180925986972E-2</v>
      </c>
      <c r="D34" s="125">
        <f t="shared" si="1"/>
        <v>4.8369180925986972E-2</v>
      </c>
      <c r="E34" s="79">
        <f t="shared" si="2"/>
        <v>6.9098829894267105E-2</v>
      </c>
      <c r="F34" s="126">
        <f t="shared" si="3"/>
        <v>0.11817718162282354</v>
      </c>
      <c r="G34" s="15"/>
      <c r="H34" s="14"/>
    </row>
    <row r="35" spans="2:8" ht="14.4" x14ac:dyDescent="0.3">
      <c r="B35" s="74">
        <f t="shared" si="4"/>
        <v>3.2000000000000006</v>
      </c>
      <c r="C35" s="125">
        <f t="shared" si="0"/>
        <v>4.8528175959355373E-2</v>
      </c>
      <c r="D35" s="125">
        <f t="shared" si="1"/>
        <v>4.8528175959355373E-2</v>
      </c>
      <c r="E35" s="79">
        <f t="shared" si="2"/>
        <v>7.1364964646110862E-2</v>
      </c>
      <c r="F35" s="126">
        <f t="shared" si="3"/>
        <v>0.12018165165896036</v>
      </c>
      <c r="G35" s="15"/>
      <c r="H35" s="14"/>
    </row>
    <row r="36" spans="2:8" ht="14.4" x14ac:dyDescent="0.3">
      <c r="B36" s="74">
        <f t="shared" si="4"/>
        <v>3.4000000000000008</v>
      </c>
      <c r="C36" s="125">
        <f t="shared" si="0"/>
        <v>4.8550472388723537E-2</v>
      </c>
      <c r="D36" s="125">
        <f t="shared" si="1"/>
        <v>4.8550472388723537E-2</v>
      </c>
      <c r="E36" s="79">
        <f t="shared" si="2"/>
        <v>7.3561321801096299E-2</v>
      </c>
      <c r="F36" s="126">
        <f t="shared" si="3"/>
        <v>0.12196547015867687</v>
      </c>
      <c r="G36" s="15"/>
      <c r="H36" s="14"/>
    </row>
    <row r="37" spans="2:8" ht="14.4" x14ac:dyDescent="0.3">
      <c r="B37" s="74">
        <f t="shared" si="4"/>
        <v>3.600000000000001</v>
      </c>
      <c r="C37" s="125">
        <f t="shared" si="0"/>
        <v>4.8444144422787078E-2</v>
      </c>
      <c r="D37" s="125">
        <f t="shared" si="1"/>
        <v>4.8444144422787078E-2</v>
      </c>
      <c r="E37" s="79">
        <f t="shared" si="2"/>
        <v>7.5693975660604818E-2</v>
      </c>
      <c r="F37" s="126">
        <f t="shared" si="3"/>
        <v>0.12354592531639857</v>
      </c>
      <c r="G37" s="15"/>
      <c r="H37" s="14"/>
    </row>
    <row r="38" spans="2:8" ht="14.4" x14ac:dyDescent="0.3">
      <c r="B38" s="74">
        <f t="shared" si="4"/>
        <v>3.8000000000000012</v>
      </c>
      <c r="C38" s="125">
        <f t="shared" si="0"/>
        <v>4.8216263695271266E-2</v>
      </c>
      <c r="D38" s="125">
        <f t="shared" si="1"/>
        <v>4.8216263695271266E-2</v>
      </c>
      <c r="E38" s="79">
        <f t="shared" si="2"/>
        <v>7.7768167250437545E-2</v>
      </c>
      <c r="F38" s="126">
        <f t="shared" si="3"/>
        <v>0.12493837884560098</v>
      </c>
      <c r="G38" s="15"/>
      <c r="H38" s="14"/>
    </row>
    <row r="39" spans="2:8" ht="14.4" x14ac:dyDescent="0.3">
      <c r="B39" s="74">
        <f t="shared" si="4"/>
        <v>4.0000000000000009</v>
      </c>
      <c r="C39" s="125">
        <f t="shared" si="0"/>
        <v>4.7873073648171921E-2</v>
      </c>
      <c r="D39" s="125">
        <f t="shared" si="1"/>
        <v>4.7873073648171921E-2</v>
      </c>
      <c r="E39" s="79">
        <f t="shared" si="2"/>
        <v>7.9788456080286549E-2</v>
      </c>
      <c r="F39" s="126">
        <f t="shared" si="3"/>
        <v>0.126156626101008</v>
      </c>
      <c r="G39" s="15"/>
      <c r="H39" s="14"/>
    </row>
    <row r="40" spans="2:8" ht="14.4" x14ac:dyDescent="0.3">
      <c r="B40" s="74">
        <f t="shared" ref="B40:B69" si="5">B39+0.2</f>
        <v>4.2000000000000011</v>
      </c>
      <c r="C40" s="125">
        <f t="shared" si="0"/>
        <v>4.7420126106504298E-2</v>
      </c>
      <c r="D40" s="125">
        <f t="shared" si="1"/>
        <v>4.7420126106504298E-2</v>
      </c>
      <c r="E40" s="79">
        <f t="shared" si="2"/>
        <v>8.1758838114662613E-2</v>
      </c>
      <c r="F40" s="126">
        <f t="shared" si="3"/>
        <v>0.1272131790478884</v>
      </c>
      <c r="G40" s="15"/>
      <c r="H40" s="14"/>
    </row>
    <row r="41" spans="2:8" ht="14.4" x14ac:dyDescent="0.3">
      <c r="B41" s="74">
        <f t="shared" si="5"/>
        <v>4.4000000000000012</v>
      </c>
      <c r="C41" s="125">
        <f t="shared" si="0"/>
        <v>4.6862389682550416E-2</v>
      </c>
      <c r="D41" s="125">
        <f t="shared" si="1"/>
        <v>4.6862389682550416E-2</v>
      </c>
      <c r="E41" s="79">
        <f t="shared" si="2"/>
        <v>8.3682838718840066E-2</v>
      </c>
      <c r="F41" s="126">
        <f t="shared" si="3"/>
        <v>0.12811949192346073</v>
      </c>
      <c r="G41" s="15"/>
      <c r="H41" s="14"/>
    </row>
    <row r="42" spans="2:8" ht="14.4" x14ac:dyDescent="0.3">
      <c r="B42" s="74">
        <f t="shared" si="5"/>
        <v>4.6000000000000014</v>
      </c>
      <c r="C42" s="125">
        <f t="shared" si="0"/>
        <v>4.6204336859838685E-2</v>
      </c>
      <c r="D42" s="125">
        <f t="shared" si="1"/>
        <v>4.6204336859838685E-2</v>
      </c>
      <c r="E42" s="79">
        <f t="shared" si="2"/>
        <v>8.5563586777479078E-2</v>
      </c>
      <c r="F42" s="126">
        <f t="shared" si="3"/>
        <v>0.12888614367058038</v>
      </c>
      <c r="G42" s="15"/>
      <c r="H42" s="14"/>
    </row>
    <row r="43" spans="2:8" ht="14.4" x14ac:dyDescent="0.3">
      <c r="B43" s="74">
        <f t="shared" si="5"/>
        <v>4.8000000000000016</v>
      </c>
      <c r="C43" s="125">
        <f t="shared" si="0"/>
        <v>4.5450014712630493E-2</v>
      </c>
      <c r="D43" s="125">
        <f t="shared" si="1"/>
        <v>4.5450014712630493E-2</v>
      </c>
      <c r="E43" s="79">
        <f t="shared" si="2"/>
        <v>8.7403874447366345E-2</v>
      </c>
      <c r="F43" s="126">
        <f t="shared" si="3"/>
        <v>0.12952298730893491</v>
      </c>
      <c r="G43" s="15"/>
      <c r="H43" s="14"/>
    </row>
    <row r="44" spans="2:8" ht="14.4" x14ac:dyDescent="0.3">
      <c r="B44" s="74">
        <f t="shared" si="5"/>
        <v>5.0000000000000018</v>
      </c>
      <c r="C44" s="125">
        <f t="shared" si="0"/>
        <v>4.4603102903819275E-2</v>
      </c>
      <c r="D44" s="125">
        <f t="shared" si="1"/>
        <v>4.4603102903819275E-2</v>
      </c>
      <c r="E44" s="79">
        <f t="shared" si="2"/>
        <v>8.9206205807638592E-2</v>
      </c>
      <c r="F44" s="126">
        <f t="shared" si="3"/>
        <v>0.13003927369650248</v>
      </c>
      <c r="G44" s="15"/>
      <c r="H44" s="14"/>
    </row>
    <row r="45" spans="2:8" ht="14.4" x14ac:dyDescent="0.3">
      <c r="B45" s="74">
        <f t="shared" si="5"/>
        <v>5.200000000000002</v>
      </c>
      <c r="C45" s="125">
        <f t="shared" si="0"/>
        <v>4.3666961678085404E-2</v>
      </c>
      <c r="D45" s="125">
        <f t="shared" si="1"/>
        <v>4.3666961678085404E-2</v>
      </c>
      <c r="E45" s="79">
        <f t="shared" si="2"/>
        <v>9.0972836829344636E-2</v>
      </c>
      <c r="F45" s="126">
        <f t="shared" si="3"/>
        <v>0.13044375521979087</v>
      </c>
      <c r="G45" s="15"/>
      <c r="H45" s="14"/>
    </row>
    <row r="46" spans="2:8" ht="14.4" x14ac:dyDescent="0.3">
      <c r="B46" s="74">
        <f t="shared" si="5"/>
        <v>5.4000000000000021</v>
      </c>
      <c r="C46" s="125">
        <f t="shared" si="0"/>
        <v>4.2644671903360118E-2</v>
      </c>
      <c r="D46" s="125">
        <f t="shared" si="1"/>
        <v>4.2644671903360118E-2</v>
      </c>
      <c r="E46" s="79">
        <f t="shared" si="2"/>
        <v>9.2705808485565533E-2</v>
      </c>
      <c r="F46" s="126">
        <f t="shared" si="3"/>
        <v>0.13074477357710371</v>
      </c>
      <c r="G46" s="15"/>
      <c r="H46" s="14"/>
    </row>
    <row r="47" spans="2:8" ht="14.4" x14ac:dyDescent="0.3">
      <c r="B47" s="74">
        <f t="shared" si="5"/>
        <v>5.6000000000000023</v>
      </c>
      <c r="C47" s="125">
        <f t="shared" si="0"/>
        <v>4.1539068730835689E-2</v>
      </c>
      <c r="D47" s="125">
        <f t="shared" si="1"/>
        <v>4.1539068730835689E-2</v>
      </c>
      <c r="E47" s="79">
        <f t="shared" si="2"/>
        <v>9.4406974388262996E-2</v>
      </c>
      <c r="F47" s="126">
        <f t="shared" si="3"/>
        <v>0.13095033481626983</v>
      </c>
      <c r="G47" s="15"/>
      <c r="H47" s="14"/>
    </row>
    <row r="48" spans="2:8" ht="14.4" x14ac:dyDescent="0.3">
      <c r="B48" s="74">
        <f t="shared" si="5"/>
        <v>5.8000000000000025</v>
      </c>
      <c r="C48" s="125">
        <f t="shared" ref="C48:C69" si="6">SQRT(0.5/PI())*SQRT(B48)*(10-B48)*IRVol</f>
        <v>4.0352770087836581E-2</v>
      </c>
      <c r="D48" s="125">
        <f t="shared" ref="D48:D69" si="7">SQRT(0.5/PI())*SQRT(B48)*(10-B48)*IRVol2</f>
        <v>4.0352770087836581E-2</v>
      </c>
      <c r="E48" s="79">
        <f t="shared" ref="E48:E69" si="8">SQRT(0.5/PI())*FXVol*SQRT(B48)</f>
        <v>9.6078024018658587E-2</v>
      </c>
      <c r="F48" s="126">
        <f t="shared" ref="F48:F69" si="9">SQRT(0.5/PI())*SQRT(B48*(10-B48)^2*IRVol^2+B48*(10-B48)^2*IRVol2^2+FXVol^2*B48+2*IRFXCorr*B48*(10-B48)*IRVol*FXVol+2*IRFXCorr*B48*(10-B48)*IRVol2*FXVol+2*IRFXCorr*B48*(10-B48)^2*IRVol*IRVol2)</f>
        <v>0.13106817404485727</v>
      </c>
      <c r="G48" s="15"/>
      <c r="H48" s="14"/>
    </row>
    <row r="49" spans="2:8" ht="14.4" x14ac:dyDescent="0.3">
      <c r="B49" s="74">
        <f t="shared" si="5"/>
        <v>6.0000000000000027</v>
      </c>
      <c r="C49" s="125">
        <f t="shared" si="6"/>
        <v>3.908820095223358E-2</v>
      </c>
      <c r="D49" s="125">
        <f t="shared" si="7"/>
        <v>3.908820095223358E-2</v>
      </c>
      <c r="E49" s="79">
        <f t="shared" si="8"/>
        <v>9.7720502380584023E-2</v>
      </c>
      <c r="F49" s="126">
        <f t="shared" si="9"/>
        <v>0.13110581167104951</v>
      </c>
      <c r="G49" s="15"/>
      <c r="H49" s="14"/>
    </row>
    <row r="50" spans="2:8" ht="14.4" x14ac:dyDescent="0.3">
      <c r="B50" s="74">
        <f t="shared" si="5"/>
        <v>6.2000000000000028</v>
      </c>
      <c r="C50" s="125">
        <f t="shared" si="6"/>
        <v>3.774761415656782E-2</v>
      </c>
      <c r="D50" s="125">
        <f t="shared" si="7"/>
        <v>3.774761415656782E-2</v>
      </c>
      <c r="E50" s="79">
        <f t="shared" si="8"/>
        <v>9.9335826727810148E-2</v>
      </c>
      <c r="F50" s="126">
        <f t="shared" si="9"/>
        <v>0.13107060260495246</v>
      </c>
      <c r="G50" s="15"/>
      <c r="H50" s="14"/>
    </row>
    <row r="51" spans="2:8" ht="14.4" x14ac:dyDescent="0.3">
      <c r="B51" s="74">
        <f t="shared" si="5"/>
        <v>6.400000000000003</v>
      </c>
      <c r="C51" s="125">
        <f t="shared" si="6"/>
        <v>3.633310831709028E-2</v>
      </c>
      <c r="D51" s="125">
        <f t="shared" si="7"/>
        <v>3.633310831709028E-2</v>
      </c>
      <c r="E51" s="79">
        <f t="shared" si="8"/>
        <v>0.10092530088080644</v>
      </c>
      <c r="F51" s="126">
        <f t="shared" si="9"/>
        <v>0.13096977951677294</v>
      </c>
      <c r="G51" s="15"/>
      <c r="H51" s="14"/>
    </row>
    <row r="52" spans="2:8" ht="14.4" x14ac:dyDescent="0.3">
      <c r="B52" s="74">
        <f t="shared" si="5"/>
        <v>6.6000000000000032</v>
      </c>
      <c r="C52" s="125">
        <f t="shared" si="6"/>
        <v>3.4846643365092182E-2</v>
      </c>
      <c r="D52" s="125">
        <f t="shared" si="7"/>
        <v>3.4846643365092182E-2</v>
      </c>
      <c r="E52" s="79">
        <f t="shared" si="8"/>
        <v>0.10249012754438888</v>
      </c>
      <c r="F52" s="126">
        <f t="shared" si="9"/>
        <v>0.13081049098440858</v>
      </c>
      <c r="G52" s="15"/>
      <c r="H52" s="14"/>
    </row>
    <row r="53" spans="2:8" ht="14.4" x14ac:dyDescent="0.3">
      <c r="B53" s="74">
        <f t="shared" si="5"/>
        <v>6.8000000000000034</v>
      </c>
      <c r="C53" s="125">
        <f t="shared" si="6"/>
        <v>3.3290054066304607E-2</v>
      </c>
      <c r="D53" s="125">
        <f t="shared" si="7"/>
        <v>3.3290054066304607E-2</v>
      </c>
      <c r="E53" s="79">
        <f t="shared" si="8"/>
        <v>0.10403141895720201</v>
      </c>
      <c r="F53" s="126">
        <f t="shared" si="9"/>
        <v>0.13059983515024912</v>
      </c>
      <c r="G53" s="15"/>
      <c r="H53" s="14"/>
    </row>
    <row r="54" spans="2:8" ht="14.4" x14ac:dyDescent="0.3">
      <c r="B54" s="74">
        <f t="shared" si="5"/>
        <v>7.0000000000000036</v>
      </c>
      <c r="C54" s="125">
        <f t="shared" si="6"/>
        <v>3.1665061842335612E-2</v>
      </c>
      <c r="D54" s="125">
        <f t="shared" si="7"/>
        <v>3.1665061842335612E-2</v>
      </c>
      <c r="E54" s="79">
        <f t="shared" si="8"/>
        <v>0.10555020614111885</v>
      </c>
      <c r="F54" s="126">
        <f t="shared" si="9"/>
        <v>0.13034488933233951</v>
      </c>
      <c r="G54" s="15"/>
      <c r="H54" s="14"/>
    </row>
    <row r="55" spans="2:8" ht="14.4" x14ac:dyDescent="0.3">
      <c r="B55" s="74">
        <f t="shared" si="5"/>
        <v>7.2000000000000037</v>
      </c>
      <c r="C55" s="125">
        <f t="shared" si="6"/>
        <v>2.9973285151366519E-2</v>
      </c>
      <c r="D55" s="125">
        <f t="shared" si="7"/>
        <v>2.9973285151366519E-2</v>
      </c>
      <c r="E55" s="79">
        <f t="shared" si="8"/>
        <v>0.10704744696916631</v>
      </c>
      <c r="F55" s="126">
        <f t="shared" si="9"/>
        <v>0.1300527358891842</v>
      </c>
      <c r="G55" s="15"/>
      <c r="H55" s="14"/>
    </row>
    <row r="56" spans="2:8" ht="14.4" x14ac:dyDescent="0.3">
      <c r="B56" s="74">
        <f t="shared" si="5"/>
        <v>7.4000000000000039</v>
      </c>
      <c r="C56" s="125">
        <f t="shared" si="6"/>
        <v>2.8216248640152281E-2</v>
      </c>
      <c r="D56" s="125">
        <f t="shared" si="7"/>
        <v>2.8216248640152281E-2</v>
      </c>
      <c r="E56" s="79">
        <f t="shared" si="8"/>
        <v>0.10852403323135509</v>
      </c>
      <c r="F56" s="126">
        <f t="shared" si="9"/>
        <v>0.12973048451383959</v>
      </c>
      <c r="G56" s="15"/>
      <c r="H56" s="14"/>
    </row>
    <row r="57" spans="2:8" ht="14.4" x14ac:dyDescent="0.3">
      <c r="B57" s="74">
        <f t="shared" si="5"/>
        <v>7.6000000000000041</v>
      </c>
      <c r="C57" s="125">
        <f t="shared" si="6"/>
        <v>2.6395391243152263E-2</v>
      </c>
      <c r="D57" s="125">
        <f t="shared" si="7"/>
        <v>2.6395391243152263E-2</v>
      </c>
      <c r="E57" s="79">
        <f t="shared" si="8"/>
        <v>0.10998079684646796</v>
      </c>
      <c r="F57" s="126">
        <f t="shared" si="9"/>
        <v>0.1293852910271408</v>
      </c>
      <c r="G57" s="15"/>
      <c r="H57" s="14"/>
    </row>
    <row r="58" spans="2:8" ht="14.4" x14ac:dyDescent="0.3">
      <c r="B58" s="74">
        <f t="shared" si="5"/>
        <v>7.8000000000000043</v>
      </c>
      <c r="C58" s="125">
        <f t="shared" si="6"/>
        <v>2.451207337539037E-2</v>
      </c>
      <c r="D58" s="125">
        <f t="shared" si="7"/>
        <v>2.451207337539037E-2</v>
      </c>
      <c r="E58" s="79">
        <f t="shared" si="8"/>
        <v>0.11141851534268372</v>
      </c>
      <c r="F58" s="126">
        <f t="shared" si="9"/>
        <v>0.12902437264922495</v>
      </c>
      <c r="G58" s="15"/>
      <c r="H58" s="14"/>
    </row>
    <row r="59" spans="2:8" ht="14.4" x14ac:dyDescent="0.3">
      <c r="B59" s="74">
        <f t="shared" si="5"/>
        <v>8.0000000000000036</v>
      </c>
      <c r="C59" s="125">
        <f t="shared" si="6"/>
        <v>2.2567583341910221E-2</v>
      </c>
      <c r="D59" s="125">
        <f t="shared" si="7"/>
        <v>2.2567583341910221E-2</v>
      </c>
      <c r="E59" s="79">
        <f t="shared" si="8"/>
        <v>0.1128379167095513</v>
      </c>
      <c r="F59" s="126">
        <f t="shared" si="9"/>
        <v>0.12865501965161374</v>
      </c>
      <c r="G59" s="15"/>
      <c r="H59" s="14"/>
    </row>
    <row r="60" spans="2:8" ht="14.4" x14ac:dyDescent="0.3">
      <c r="B60" s="74">
        <f t="shared" si="5"/>
        <v>8.2000000000000028</v>
      </c>
      <c r="C60" s="125">
        <f t="shared" si="6"/>
        <v>2.0563143067307253E-2</v>
      </c>
      <c r="D60" s="125">
        <f t="shared" si="7"/>
        <v>2.0563143067307253E-2</v>
      </c>
      <c r="E60" s="79">
        <f t="shared" si="8"/>
        <v>0.11423968370726272</v>
      </c>
      <c r="F60" s="126">
        <f t="shared" si="9"/>
        <v>0.12828460322886828</v>
      </c>
      <c r="G60" s="15"/>
      <c r="H60" s="14"/>
    </row>
    <row r="61" spans="2:8" ht="14.4" x14ac:dyDescent="0.3">
      <c r="B61" s="74">
        <f t="shared" si="5"/>
        <v>8.4000000000000021</v>
      </c>
      <c r="C61" s="125">
        <f t="shared" si="6"/>
        <v>1.8499913232899522E-2</v>
      </c>
      <c r="D61" s="125">
        <f t="shared" si="7"/>
        <v>1.8499913232899522E-2</v>
      </c>
      <c r="E61" s="79">
        <f t="shared" si="8"/>
        <v>0.11562445770562219</v>
      </c>
      <c r="F61" s="126">
        <f t="shared" si="9"/>
        <v>0.12792057938008378</v>
      </c>
      <c r="G61" s="15"/>
      <c r="H61" s="14"/>
    </row>
    <row r="62" spans="2:8" ht="14.4" x14ac:dyDescent="0.3">
      <c r="B62" s="74">
        <f t="shared" si="5"/>
        <v>8.6000000000000014</v>
      </c>
      <c r="C62" s="125">
        <f t="shared" si="6"/>
        <v>1.6378997895955E-2</v>
      </c>
      <c r="D62" s="125">
        <f t="shared" si="7"/>
        <v>1.6378997895955E-2</v>
      </c>
      <c r="E62" s="79">
        <f t="shared" si="8"/>
        <v>0.11699284211396441</v>
      </c>
      <c r="F62" s="126">
        <f t="shared" si="9"/>
        <v>0.1275704885579681</v>
      </c>
      <c r="G62" s="15"/>
      <c r="H62" s="14"/>
    </row>
    <row r="63" spans="2:8" ht="14.4" x14ac:dyDescent="0.3">
      <c r="B63" s="74">
        <f t="shared" si="5"/>
        <v>8.8000000000000007</v>
      </c>
      <c r="C63" s="125">
        <f t="shared" si="6"/>
        <v>1.4201448654487667E-2</v>
      </c>
      <c r="D63" s="125">
        <f t="shared" si="7"/>
        <v>1.4201448654487667E-2</v>
      </c>
      <c r="E63" s="79">
        <f t="shared" si="8"/>
        <v>0.11834540545406398</v>
      </c>
      <c r="F63" s="126">
        <f t="shared" si="9"/>
        <v>0.12724195082932488</v>
      </c>
      <c r="G63" s="15"/>
      <c r="H63" s="14"/>
    </row>
    <row r="64" spans="2:8" ht="14.4" x14ac:dyDescent="0.3">
      <c r="B64" s="74">
        <f t="shared" si="5"/>
        <v>9</v>
      </c>
      <c r="C64" s="125">
        <f t="shared" si="6"/>
        <v>1.1968268412042982E-2</v>
      </c>
      <c r="D64" s="125">
        <f t="shared" si="7"/>
        <v>1.1968268412042982E-2</v>
      </c>
      <c r="E64" s="79">
        <f t="shared" si="8"/>
        <v>0.11968268412042982</v>
      </c>
      <c r="F64" s="126">
        <f t="shared" si="9"/>
        <v>0.12694265629824519</v>
      </c>
      <c r="G64" s="15"/>
      <c r="H64" s="14"/>
    </row>
    <row r="65" spans="2:8" ht="14.4" x14ac:dyDescent="0.3">
      <c r="B65" s="74">
        <f t="shared" si="5"/>
        <v>9.1999999999999993</v>
      </c>
      <c r="C65" s="125">
        <f t="shared" si="6"/>
        <v>9.680414789279855E-3</v>
      </c>
      <c r="D65" s="125">
        <f t="shared" si="7"/>
        <v>9.680414789279855E-3</v>
      </c>
      <c r="E65" s="79">
        <f t="shared" si="8"/>
        <v>0.12100518486599809</v>
      </c>
      <c r="F65" s="126">
        <f t="shared" si="9"/>
        <v>0.1266803505751464</v>
      </c>
      <c r="G65" s="15"/>
      <c r="H65" s="14"/>
    </row>
    <row r="66" spans="2:8" ht="14.4" x14ac:dyDescent="0.3">
      <c r="B66" s="74">
        <f t="shared" si="5"/>
        <v>9.3999999999999986</v>
      </c>
      <c r="C66" s="125">
        <f t="shared" si="6"/>
        <v>7.3388032227535331E-3</v>
      </c>
      <c r="D66" s="125">
        <f t="shared" si="7"/>
        <v>7.3388032227535331E-3</v>
      </c>
      <c r="E66" s="79">
        <f t="shared" si="8"/>
        <v>0.12231338704589192</v>
      </c>
      <c r="F66" s="126">
        <f t="shared" si="9"/>
        <v>0.12646281513366764</v>
      </c>
      <c r="G66" s="15"/>
      <c r="H66" s="14"/>
    </row>
    <row r="67" spans="2:8" ht="14.4" x14ac:dyDescent="0.3">
      <c r="B67" s="74">
        <f t="shared" si="5"/>
        <v>9.5999999999999979</v>
      </c>
      <c r="C67" s="125">
        <f t="shared" si="6"/>
        <v>4.9443097858968528E-3</v>
      </c>
      <c r="D67" s="125">
        <f t="shared" si="7"/>
        <v>4.9443097858968528E-3</v>
      </c>
      <c r="E67" s="79">
        <f t="shared" si="8"/>
        <v>0.12360774464742068</v>
      </c>
      <c r="F67" s="126">
        <f t="shared" si="9"/>
        <v>0.12629784248530188</v>
      </c>
      <c r="G67" s="15"/>
      <c r="H67" s="14"/>
    </row>
    <row r="68" spans="2:8" ht="14.4" x14ac:dyDescent="0.3">
      <c r="B68" s="74">
        <f t="shared" si="5"/>
        <v>9.7999999999999972</v>
      </c>
      <c r="C68" s="125">
        <f t="shared" si="6"/>
        <v>2.4977737626139147E-3</v>
      </c>
      <c r="D68" s="125">
        <f t="shared" si="7"/>
        <v>2.4977737626139147E-3</v>
      </c>
      <c r="E68" s="79">
        <f t="shared" si="8"/>
        <v>0.12488868813069398</v>
      </c>
      <c r="F68" s="126">
        <f t="shared" si="9"/>
        <v>0.12619320621922903</v>
      </c>
      <c r="G68" s="15"/>
      <c r="H68" s="14"/>
    </row>
    <row r="69" spans="2:8" ht="15" thickBot="1" x14ac:dyDescent="0.35">
      <c r="B69" s="78">
        <f t="shared" si="5"/>
        <v>9.9999999999999964</v>
      </c>
      <c r="C69" s="127">
        <f t="shared" si="6"/>
        <v>4.4819837122037135E-17</v>
      </c>
      <c r="D69" s="127">
        <f t="shared" si="7"/>
        <v>4.4819837122037135E-17</v>
      </c>
      <c r="E69" s="112">
        <f t="shared" si="8"/>
        <v>0.126156626101008</v>
      </c>
      <c r="F69" s="128">
        <f t="shared" si="9"/>
        <v>0.126156626101008</v>
      </c>
      <c r="G69" s="15"/>
      <c r="H69" s="14"/>
    </row>
    <row r="70" spans="2:8" x14ac:dyDescent="0.25">
      <c r="G70" s="15"/>
      <c r="H70" s="14"/>
    </row>
    <row r="71" spans="2:8" x14ac:dyDescent="0.25">
      <c r="B71" s="18"/>
      <c r="C71" s="18"/>
      <c r="D71" s="18"/>
      <c r="E71" s="18"/>
      <c r="F71" s="18"/>
      <c r="G71" s="15"/>
      <c r="H71" s="14"/>
    </row>
    <row r="72" spans="2:8" x14ac:dyDescent="0.25">
      <c r="B72" s="18"/>
      <c r="C72" s="18"/>
      <c r="D72" s="18"/>
      <c r="E72" s="18"/>
      <c r="F72" s="18"/>
      <c r="G72" s="15"/>
      <c r="H72" s="14"/>
    </row>
    <row r="73" spans="2:8" x14ac:dyDescent="0.25">
      <c r="B73" s="18"/>
      <c r="C73" s="18"/>
      <c r="D73" s="18"/>
      <c r="E73" s="18"/>
      <c r="F73" s="18"/>
      <c r="G73" s="15"/>
      <c r="H73" s="14"/>
    </row>
    <row r="74" spans="2:8" x14ac:dyDescent="0.25">
      <c r="B74" s="18"/>
      <c r="C74" s="18"/>
      <c r="D74" s="18"/>
      <c r="E74" s="18"/>
      <c r="F74" s="18"/>
      <c r="G74" s="15"/>
      <c r="H74" s="14"/>
    </row>
    <row r="75" spans="2:8" x14ac:dyDescent="0.25">
      <c r="B75" s="18"/>
      <c r="C75" s="18"/>
      <c r="D75" s="18"/>
      <c r="E75" s="18"/>
      <c r="F75" s="18"/>
      <c r="G75" s="15"/>
      <c r="H75" s="14"/>
    </row>
    <row r="76" spans="2:8" x14ac:dyDescent="0.25">
      <c r="B76" s="18"/>
      <c r="C76" s="18"/>
      <c r="D76" s="18"/>
      <c r="E76" s="18"/>
      <c r="F76" s="18"/>
      <c r="G76" s="15"/>
      <c r="H76" s="14"/>
    </row>
    <row r="77" spans="2:8" x14ac:dyDescent="0.25">
      <c r="B77" s="18"/>
      <c r="C77" s="18"/>
      <c r="D77" s="18"/>
      <c r="E77" s="18"/>
      <c r="F77" s="18"/>
      <c r="G77" s="15"/>
      <c r="H77" s="14"/>
    </row>
    <row r="78" spans="2:8" x14ac:dyDescent="0.25">
      <c r="B78" s="18"/>
      <c r="C78" s="18"/>
      <c r="D78" s="18"/>
      <c r="E78" s="18"/>
      <c r="F78" s="18"/>
      <c r="G78" s="15"/>
      <c r="H78" s="14"/>
    </row>
    <row r="79" spans="2:8" x14ac:dyDescent="0.25">
      <c r="B79" s="18"/>
      <c r="C79" s="18"/>
      <c r="D79" s="18"/>
      <c r="E79" s="18"/>
      <c r="F79" s="18"/>
      <c r="G79" s="15"/>
      <c r="H79" s="14"/>
    </row>
    <row r="80" spans="2:8" x14ac:dyDescent="0.25">
      <c r="B80" s="18"/>
      <c r="C80" s="18"/>
      <c r="D80" s="18"/>
      <c r="E80" s="18"/>
      <c r="F80" s="18"/>
      <c r="G80" s="15"/>
      <c r="H80" s="14"/>
    </row>
    <row r="81" spans="2:8" x14ac:dyDescent="0.25">
      <c r="B81" s="18"/>
      <c r="C81" s="18"/>
      <c r="D81" s="18"/>
      <c r="E81" s="18"/>
      <c r="F81" s="18"/>
      <c r="G81" s="15"/>
      <c r="H81" s="14"/>
    </row>
    <row r="82" spans="2:8" x14ac:dyDescent="0.25">
      <c r="B82" s="18"/>
      <c r="C82" s="18"/>
      <c r="D82" s="18"/>
      <c r="E82" s="18"/>
      <c r="F82" s="18"/>
      <c r="G82" s="15"/>
      <c r="H82" s="14"/>
    </row>
    <row r="83" spans="2:8" x14ac:dyDescent="0.25">
      <c r="B83" s="18"/>
      <c r="C83" s="18"/>
      <c r="D83" s="18"/>
      <c r="E83" s="18"/>
      <c r="F83" s="18"/>
      <c r="G83" s="15"/>
      <c r="H83" s="14"/>
    </row>
    <row r="84" spans="2:8" x14ac:dyDescent="0.25">
      <c r="B84" s="18"/>
      <c r="C84" s="18"/>
      <c r="D84" s="18"/>
      <c r="E84" s="18"/>
      <c r="F84" s="18"/>
      <c r="G84" s="15"/>
      <c r="H84" s="14"/>
    </row>
    <row r="85" spans="2:8" ht="15" x14ac:dyDescent="0.25">
      <c r="B85" s="8"/>
      <c r="C85" s="8"/>
      <c r="D85" s="8"/>
      <c r="E85" s="8"/>
      <c r="F85" s="5"/>
      <c r="G85" s="3"/>
    </row>
    <row r="86" spans="2:8" ht="15" x14ac:dyDescent="0.25">
      <c r="B86" s="8"/>
      <c r="C86" s="8"/>
      <c r="D86" s="8"/>
      <c r="E86" s="8"/>
      <c r="F86" s="5"/>
      <c r="G86" s="3"/>
    </row>
    <row r="87" spans="2:8" ht="15" x14ac:dyDescent="0.25">
      <c r="B87" s="8"/>
      <c r="C87" s="8"/>
      <c r="D87" s="8"/>
      <c r="E87" s="8"/>
      <c r="F87" s="5"/>
      <c r="G87" s="3"/>
    </row>
    <row r="88" spans="2:8" ht="15" x14ac:dyDescent="0.25">
      <c r="B88" s="8"/>
      <c r="C88" s="8"/>
      <c r="D88" s="8"/>
      <c r="E88" s="8"/>
      <c r="F88" s="5"/>
      <c r="G88" s="3"/>
    </row>
    <row r="89" spans="2:8" x14ac:dyDescent="0.25">
      <c r="B89" s="5"/>
      <c r="C89" s="5"/>
      <c r="D89" s="5"/>
      <c r="E89" s="5"/>
      <c r="F89" s="5"/>
      <c r="G89" s="3"/>
    </row>
    <row r="90" spans="2:8" x14ac:dyDescent="0.25">
      <c r="B90" s="5"/>
      <c r="C90" s="5"/>
      <c r="D90" s="5"/>
      <c r="E90" s="5"/>
      <c r="F90" s="5"/>
      <c r="G90" s="3"/>
    </row>
    <row r="91" spans="2:8" x14ac:dyDescent="0.25">
      <c r="B91" s="5"/>
      <c r="C91" s="5"/>
      <c r="D91" s="5"/>
      <c r="E91" s="5"/>
      <c r="F91" s="5"/>
      <c r="G91" s="3"/>
    </row>
    <row r="92" spans="2:8" x14ac:dyDescent="0.25">
      <c r="B92" s="5"/>
      <c r="C92" s="5"/>
      <c r="D92" s="5"/>
      <c r="E92" s="5"/>
      <c r="F92" s="5"/>
      <c r="G92" s="3"/>
    </row>
    <row r="93" spans="2:8" x14ac:dyDescent="0.25">
      <c r="B93" s="5"/>
      <c r="C93" s="5"/>
      <c r="D93" s="5"/>
      <c r="E93" s="5"/>
      <c r="F93" s="5"/>
      <c r="G93" s="3"/>
    </row>
    <row r="94" spans="2:8" x14ac:dyDescent="0.25">
      <c r="B94" s="5"/>
      <c r="C94" s="5"/>
      <c r="D94" s="5"/>
      <c r="E94" s="5"/>
      <c r="F94" s="5"/>
      <c r="G94" s="3"/>
    </row>
    <row r="95" spans="2:8" x14ac:dyDescent="0.25">
      <c r="B95" s="5"/>
      <c r="C95" s="5"/>
      <c r="D95" s="5"/>
      <c r="E95" s="5"/>
      <c r="F95" s="5"/>
      <c r="G95" s="3"/>
    </row>
    <row r="96" spans="2:8" x14ac:dyDescent="0.25">
      <c r="G96" s="3"/>
    </row>
    <row r="97" spans="7:7" x14ac:dyDescent="0.25">
      <c r="G97" s="3"/>
    </row>
    <row r="98" spans="7:7" x14ac:dyDescent="0.25">
      <c r="G98" s="3"/>
    </row>
    <row r="99" spans="7:7" x14ac:dyDescent="0.25">
      <c r="G99" s="3"/>
    </row>
  </sheetData>
  <mergeCells count="1">
    <mergeCell ref="B9:C9"/>
  </mergeCells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N36"/>
  <sheetViews>
    <sheetView showGridLines="0" zoomScaleNormal="100" workbookViewId="0">
      <pane ySplit="7" topLeftCell="A8" activePane="bottomLeft" state="frozen"/>
      <selection pane="bottomLeft" activeCell="G25" sqref="G25"/>
    </sheetView>
  </sheetViews>
  <sheetFormatPr defaultRowHeight="13.2" x14ac:dyDescent="0.25"/>
  <cols>
    <col min="2" max="8" width="10.77734375" customWidth="1"/>
  </cols>
  <sheetData>
    <row r="1" spans="2:14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4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4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4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4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9" spans="2:14" ht="13.8" thickBot="1" x14ac:dyDescent="0.3"/>
    <row r="10" spans="2:14" ht="16.2" customHeight="1" x14ac:dyDescent="0.3">
      <c r="B10" s="131"/>
      <c r="C10" s="175" t="s">
        <v>50</v>
      </c>
      <c r="D10" s="175"/>
      <c r="E10" s="177"/>
      <c r="F10" s="174" t="s">
        <v>51</v>
      </c>
      <c r="G10" s="175"/>
      <c r="H10" s="176"/>
    </row>
    <row r="11" spans="2:14" ht="14.4" x14ac:dyDescent="0.3">
      <c r="B11" s="132"/>
      <c r="C11" s="133" t="s">
        <v>18</v>
      </c>
      <c r="D11" s="134" t="s">
        <v>19</v>
      </c>
      <c r="E11" s="135" t="s">
        <v>49</v>
      </c>
      <c r="F11" s="134" t="s">
        <v>18</v>
      </c>
      <c r="G11" s="135" t="s">
        <v>19</v>
      </c>
      <c r="H11" s="136" t="s">
        <v>49</v>
      </c>
    </row>
    <row r="12" spans="2:14" ht="14.4" x14ac:dyDescent="0.3">
      <c r="B12" s="74" t="s">
        <v>20</v>
      </c>
      <c r="C12" s="137">
        <v>50</v>
      </c>
      <c r="D12" s="138">
        <v>15</v>
      </c>
      <c r="E12" s="140">
        <f>C12+D12</f>
        <v>65</v>
      </c>
      <c r="F12" s="138">
        <v>50</v>
      </c>
      <c r="G12" s="137">
        <v>-25</v>
      </c>
      <c r="H12" s="142">
        <f>F12+G12</f>
        <v>25</v>
      </c>
    </row>
    <row r="13" spans="2:14" ht="14.4" x14ac:dyDescent="0.3">
      <c r="B13" s="74" t="s">
        <v>21</v>
      </c>
      <c r="C13" s="137">
        <v>30</v>
      </c>
      <c r="D13" s="138">
        <v>5</v>
      </c>
      <c r="E13" s="140">
        <f t="shared" ref="E13:E16" si="0">C13+D13</f>
        <v>35</v>
      </c>
      <c r="F13" s="138">
        <v>30</v>
      </c>
      <c r="G13" s="137">
        <v>-15</v>
      </c>
      <c r="H13" s="142">
        <f t="shared" ref="H13:H16" si="1">F13+G13</f>
        <v>15</v>
      </c>
    </row>
    <row r="14" spans="2:14" ht="14.4" x14ac:dyDescent="0.3">
      <c r="B14" s="74" t="s">
        <v>22</v>
      </c>
      <c r="C14" s="137">
        <v>10</v>
      </c>
      <c r="D14" s="138">
        <v>-5</v>
      </c>
      <c r="E14" s="140">
        <f t="shared" si="0"/>
        <v>5</v>
      </c>
      <c r="F14" s="138">
        <v>10</v>
      </c>
      <c r="G14" s="137">
        <v>-5</v>
      </c>
      <c r="H14" s="142">
        <f t="shared" si="1"/>
        <v>5</v>
      </c>
    </row>
    <row r="15" spans="2:14" ht="14.4" x14ac:dyDescent="0.3">
      <c r="B15" s="74" t="s">
        <v>23</v>
      </c>
      <c r="C15" s="137">
        <v>-10</v>
      </c>
      <c r="D15" s="138">
        <v>-15</v>
      </c>
      <c r="E15" s="140">
        <f t="shared" si="0"/>
        <v>-25</v>
      </c>
      <c r="F15" s="138">
        <v>-10</v>
      </c>
      <c r="G15" s="137">
        <v>5</v>
      </c>
      <c r="H15" s="142">
        <f t="shared" si="1"/>
        <v>-5</v>
      </c>
    </row>
    <row r="16" spans="2:14" ht="14.4" x14ac:dyDescent="0.3">
      <c r="B16" s="74" t="s">
        <v>24</v>
      </c>
      <c r="C16" s="137">
        <v>-30</v>
      </c>
      <c r="D16" s="138">
        <v>-25</v>
      </c>
      <c r="E16" s="140">
        <f t="shared" si="0"/>
        <v>-55</v>
      </c>
      <c r="F16" s="138">
        <v>-30</v>
      </c>
      <c r="G16" s="137">
        <v>15</v>
      </c>
      <c r="H16" s="142">
        <f t="shared" si="1"/>
        <v>-15</v>
      </c>
    </row>
    <row r="17" spans="2:8" ht="14.4" x14ac:dyDescent="0.3">
      <c r="B17" s="74" t="s">
        <v>29</v>
      </c>
      <c r="C17" s="140">
        <f t="shared" ref="C17:H17" si="2">AVERAGE(C12:C16)</f>
        <v>10</v>
      </c>
      <c r="D17" s="141">
        <f t="shared" si="2"/>
        <v>-5</v>
      </c>
      <c r="E17" s="140">
        <f t="shared" si="2"/>
        <v>5</v>
      </c>
      <c r="F17" s="141">
        <f t="shared" si="2"/>
        <v>10</v>
      </c>
      <c r="G17" s="140">
        <f t="shared" si="2"/>
        <v>-5</v>
      </c>
      <c r="H17" s="142">
        <f t="shared" si="2"/>
        <v>5</v>
      </c>
    </row>
    <row r="18" spans="2:8" ht="14.4" x14ac:dyDescent="0.3">
      <c r="B18" s="74" t="s">
        <v>6</v>
      </c>
      <c r="C18" s="140">
        <f>SUMIF(C12:C16,"&gt;0")/5</f>
        <v>18</v>
      </c>
      <c r="D18" s="141">
        <f t="shared" ref="D18:E18" si="3">SUMIF(D12:D16,"&gt;0")/5</f>
        <v>4</v>
      </c>
      <c r="E18" s="140">
        <f t="shared" si="3"/>
        <v>21</v>
      </c>
      <c r="F18" s="141">
        <f>SUMIF(F12:F16,"&gt;0")/5</f>
        <v>18</v>
      </c>
      <c r="G18" s="140">
        <f t="shared" ref="G18:H18" si="4">SUMIF(G12:G16,"&gt;0")/5</f>
        <v>4</v>
      </c>
      <c r="H18" s="142">
        <f t="shared" si="4"/>
        <v>9</v>
      </c>
    </row>
    <row r="19" spans="2:8" ht="15" thickBot="1" x14ac:dyDescent="0.35">
      <c r="B19" s="78" t="s">
        <v>30</v>
      </c>
      <c r="C19" s="143">
        <f>SUMIF(C12:C16,"&lt;0")/5</f>
        <v>-8</v>
      </c>
      <c r="D19" s="144">
        <f t="shared" ref="D19:E19" si="5">SUMIF(D12:D16,"&lt;0")/5</f>
        <v>-9</v>
      </c>
      <c r="E19" s="143">
        <f t="shared" si="5"/>
        <v>-16</v>
      </c>
      <c r="F19" s="144">
        <f>SUMIF(F12:F16,"&lt;0")/5</f>
        <v>-8</v>
      </c>
      <c r="G19" s="143">
        <f t="shared" ref="G19:H19" si="6">SUMIF(G12:G16,"&lt;0")/5</f>
        <v>-9</v>
      </c>
      <c r="H19" s="145">
        <f t="shared" si="6"/>
        <v>-4</v>
      </c>
    </row>
    <row r="20" spans="2:8" x14ac:dyDescent="0.25">
      <c r="B20" s="18"/>
      <c r="C20" s="18"/>
      <c r="D20" s="18"/>
      <c r="E20" s="18"/>
      <c r="F20" s="18"/>
      <c r="G20" s="14"/>
      <c r="H20" s="14"/>
    </row>
    <row r="21" spans="2:8" x14ac:dyDescent="0.25">
      <c r="B21" s="5"/>
      <c r="C21" s="5"/>
      <c r="D21" s="5"/>
    </row>
    <row r="22" spans="2:8" ht="14.4" x14ac:dyDescent="0.3">
      <c r="B22" s="73" t="s">
        <v>65</v>
      </c>
      <c r="C22" s="5"/>
      <c r="D22" s="5"/>
    </row>
    <row r="23" spans="2:8" ht="14.4" x14ac:dyDescent="0.3">
      <c r="B23" s="73" t="s">
        <v>66</v>
      </c>
      <c r="C23" s="5"/>
      <c r="D23" s="5"/>
    </row>
    <row r="24" spans="2:8" ht="14.4" x14ac:dyDescent="0.3">
      <c r="B24" s="73" t="s">
        <v>67</v>
      </c>
      <c r="C24" s="5"/>
      <c r="D24" s="5"/>
    </row>
    <row r="25" spans="2:8" ht="14.4" x14ac:dyDescent="0.3">
      <c r="B25" s="73" t="s">
        <v>68</v>
      </c>
      <c r="C25" s="5"/>
      <c r="D25" s="5"/>
    </row>
    <row r="26" spans="2:8" x14ac:dyDescent="0.25">
      <c r="B26" s="5"/>
      <c r="C26" s="5"/>
      <c r="D26" s="5"/>
    </row>
    <row r="27" spans="2:8" x14ac:dyDescent="0.25">
      <c r="B27" s="5"/>
      <c r="C27" s="5"/>
      <c r="D27" s="5"/>
    </row>
    <row r="28" spans="2:8" x14ac:dyDescent="0.25">
      <c r="B28" s="5"/>
      <c r="C28" s="5"/>
      <c r="D28" s="5"/>
    </row>
    <row r="29" spans="2:8" x14ac:dyDescent="0.25">
      <c r="B29" s="5"/>
      <c r="C29" s="5"/>
      <c r="D29" s="5"/>
      <c r="E29" s="5"/>
      <c r="F29" s="5"/>
    </row>
    <row r="30" spans="2:8" x14ac:dyDescent="0.25">
      <c r="B30" s="5"/>
      <c r="C30" s="5"/>
      <c r="D30" s="5"/>
      <c r="E30" s="5"/>
      <c r="F30" s="5"/>
    </row>
    <row r="31" spans="2:8" x14ac:dyDescent="0.25">
      <c r="B31" s="5"/>
      <c r="C31" s="5"/>
      <c r="D31" s="5"/>
      <c r="E31" s="5"/>
      <c r="F31" s="5"/>
    </row>
    <row r="32" spans="2:8" x14ac:dyDescent="0.25">
      <c r="B32" s="5"/>
      <c r="C32" s="5"/>
      <c r="D32" s="5"/>
      <c r="E32" s="5"/>
      <c r="F32" s="5"/>
    </row>
    <row r="33" spans="2:6" x14ac:dyDescent="0.25">
      <c r="B33" s="5"/>
      <c r="C33" s="5"/>
      <c r="D33" s="5"/>
      <c r="E33" s="5"/>
      <c r="F33" s="5"/>
    </row>
    <row r="34" spans="2:6" x14ac:dyDescent="0.25">
      <c r="B34" s="5"/>
      <c r="C34" s="5"/>
      <c r="D34" s="5"/>
      <c r="E34" s="5"/>
      <c r="F34" s="5"/>
    </row>
    <row r="35" spans="2:6" x14ac:dyDescent="0.25">
      <c r="B35" s="5"/>
      <c r="C35" s="5"/>
      <c r="D35" s="5"/>
      <c r="E35" s="5"/>
      <c r="F35" s="5"/>
    </row>
    <row r="36" spans="2:6" x14ac:dyDescent="0.25">
      <c r="B36" s="5"/>
      <c r="C36" s="5"/>
      <c r="D36" s="5"/>
      <c r="E36" s="5"/>
      <c r="F36" s="5"/>
    </row>
  </sheetData>
  <mergeCells count="2">
    <mergeCell ref="F10:H10"/>
    <mergeCell ref="C10:E10"/>
  </mergeCell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0C9B9-EE6A-4803-AE6E-B766ABE623E8}">
  <sheetPr codeName="Sheet20"/>
  <dimension ref="B1:R99"/>
  <sheetViews>
    <sheetView showGridLines="0" workbookViewId="0">
      <pane ySplit="7" topLeftCell="A8" activePane="bottomLeft" state="frozen"/>
      <selection pane="bottomLeft" activeCell="J28" sqref="J28"/>
    </sheetView>
  </sheetViews>
  <sheetFormatPr defaultRowHeight="13.2" x14ac:dyDescent="0.25"/>
  <cols>
    <col min="1" max="1" width="8.88671875" style="23"/>
    <col min="2" max="2" width="15.44140625" style="23" customWidth="1"/>
    <col min="3" max="3" width="9.5546875" style="23" bestFit="1" customWidth="1"/>
    <col min="4" max="4" width="11.5546875" style="23" customWidth="1"/>
    <col min="5" max="5" width="9" style="23" customWidth="1"/>
    <col min="6" max="6" width="11.109375" style="23" customWidth="1"/>
    <col min="7" max="8" width="8.88671875" style="23"/>
    <col min="9" max="9" width="9.33203125" style="23" bestFit="1" customWidth="1"/>
    <col min="10" max="16384" width="8.88671875" style="23"/>
  </cols>
  <sheetData>
    <row r="1" spans="2:18" s="24" customFormat="1" x14ac:dyDescent="0.25"/>
    <row r="2" spans="2:18" s="24" customFormat="1" x14ac:dyDescent="0.25"/>
    <row r="3" spans="2:18" s="24" customFormat="1" x14ac:dyDescent="0.25"/>
    <row r="4" spans="2:18" s="24" customFormat="1" x14ac:dyDescent="0.25"/>
    <row r="5" spans="2:18" s="24" customFormat="1" x14ac:dyDescent="0.25"/>
    <row r="6" spans="2:18" s="24" customFormat="1" x14ac:dyDescent="0.25"/>
    <row r="7" spans="2:18" s="24" customFormat="1" x14ac:dyDescent="0.25"/>
    <row r="8" spans="2:18" ht="13.8" thickBot="1" x14ac:dyDescent="0.3"/>
    <row r="9" spans="2:18" ht="15" thickBot="1" x14ac:dyDescent="0.35">
      <c r="B9" s="178" t="s">
        <v>0</v>
      </c>
      <c r="C9" s="179"/>
      <c r="D9" s="179"/>
      <c r="E9" s="180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6"/>
    </row>
    <row r="10" spans="2:18" ht="14.4" x14ac:dyDescent="0.3">
      <c r="B10" s="28"/>
      <c r="C10" s="29" t="s">
        <v>18</v>
      </c>
      <c r="D10" s="29" t="s">
        <v>19</v>
      </c>
      <c r="E10" s="30" t="s">
        <v>52</v>
      </c>
      <c r="F10" s="27"/>
      <c r="G10" s="27"/>
      <c r="H10" s="31"/>
      <c r="I10" s="31"/>
      <c r="J10" s="27"/>
      <c r="K10" s="27"/>
      <c r="L10" s="27"/>
      <c r="M10" s="27"/>
      <c r="N10" s="27"/>
      <c r="O10" s="27"/>
      <c r="P10" s="27"/>
      <c r="Q10" s="27"/>
      <c r="R10" s="26"/>
    </row>
    <row r="11" spans="2:18" ht="14.4" x14ac:dyDescent="0.3">
      <c r="B11" s="32" t="s">
        <v>53</v>
      </c>
      <c r="C11" s="57">
        <v>6</v>
      </c>
      <c r="D11" s="57">
        <v>-10</v>
      </c>
      <c r="E11" s="58">
        <v>0</v>
      </c>
      <c r="F11" s="33"/>
      <c r="G11" s="33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6"/>
    </row>
    <row r="12" spans="2:18" ht="14.4" x14ac:dyDescent="0.3">
      <c r="B12" s="32" t="s">
        <v>54</v>
      </c>
      <c r="C12" s="57">
        <v>10</v>
      </c>
      <c r="D12" s="57">
        <v>30</v>
      </c>
      <c r="E12" s="58">
        <v>0</v>
      </c>
      <c r="F12" s="33"/>
      <c r="G12" s="33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6"/>
    </row>
    <row r="13" spans="2:18" ht="15" thickBot="1" x14ac:dyDescent="0.35">
      <c r="B13" s="34" t="s">
        <v>10</v>
      </c>
      <c r="C13" s="59">
        <v>0</v>
      </c>
      <c r="D13" s="35"/>
      <c r="E13" s="36"/>
      <c r="F13" s="27"/>
      <c r="G13" s="27"/>
      <c r="H13" s="31"/>
      <c r="I13" s="31"/>
      <c r="J13" s="31"/>
      <c r="K13" s="27"/>
      <c r="L13" s="27"/>
      <c r="M13" s="27"/>
      <c r="N13" s="27"/>
      <c r="O13" s="27"/>
      <c r="P13" s="27"/>
      <c r="Q13" s="27"/>
      <c r="R13" s="26"/>
    </row>
    <row r="14" spans="2:18" ht="15" thickBot="1" x14ac:dyDescent="0.35">
      <c r="B14" s="27"/>
      <c r="C14" s="37"/>
      <c r="D14" s="27"/>
      <c r="E14" s="27"/>
      <c r="F14" s="38"/>
      <c r="G14" s="38"/>
      <c r="H14" s="31"/>
      <c r="I14" s="31"/>
      <c r="J14" s="31"/>
      <c r="K14" s="27"/>
      <c r="L14" s="27"/>
      <c r="M14" s="27"/>
      <c r="N14" s="27"/>
      <c r="O14" s="27"/>
      <c r="P14" s="27"/>
      <c r="Q14" s="27"/>
      <c r="R14" s="26"/>
    </row>
    <row r="15" spans="2:18" ht="15" thickBot="1" x14ac:dyDescent="0.35">
      <c r="B15" s="178" t="s">
        <v>55</v>
      </c>
      <c r="C15" s="179"/>
      <c r="D15" s="179"/>
      <c r="E15" s="180"/>
      <c r="F15" s="33"/>
      <c r="G15" s="33"/>
      <c r="H15" s="31"/>
      <c r="I15" s="31"/>
      <c r="J15" s="31"/>
      <c r="K15" s="27"/>
      <c r="L15" s="27"/>
      <c r="M15" s="27"/>
      <c r="N15" s="27"/>
      <c r="O15" s="27"/>
      <c r="P15" s="27"/>
      <c r="Q15" s="27"/>
      <c r="R15" s="26"/>
    </row>
    <row r="16" spans="2:18" ht="14.4" x14ac:dyDescent="0.3">
      <c r="B16" s="28"/>
      <c r="C16" s="39" t="s">
        <v>18</v>
      </c>
      <c r="D16" s="29" t="s">
        <v>19</v>
      </c>
      <c r="E16" s="30" t="s">
        <v>52</v>
      </c>
      <c r="F16" s="27"/>
      <c r="G16" s="27"/>
      <c r="H16" s="31"/>
      <c r="I16" s="31"/>
      <c r="J16" s="31"/>
      <c r="K16" s="27"/>
      <c r="L16" s="27"/>
      <c r="M16" s="27"/>
      <c r="N16" s="27"/>
      <c r="O16" s="27"/>
      <c r="P16" s="27"/>
      <c r="Q16" s="27"/>
      <c r="R16" s="26"/>
    </row>
    <row r="17" spans="2:18" ht="14.4" x14ac:dyDescent="0.3">
      <c r="B17" s="32" t="s">
        <v>63</v>
      </c>
      <c r="C17" s="55">
        <f>C11*NORMSDIST(C11/C12)+C12*NORMDIST(C11/C12,0,1,FALSE)</f>
        <v>7.6867273224175552</v>
      </c>
      <c r="D17" s="55">
        <f>D11*NORMSDIST(D11/D12)+D12*NORMDIST(D11/D12,0,1,FALSE)</f>
        <v>7.6270834289721581</v>
      </c>
      <c r="E17" s="56" t="e">
        <f>E11*NORMSDIST(E11/E12)+E12*NORMDIST(E11/E12,0,1,FALSE)</f>
        <v>#DIV/0!</v>
      </c>
      <c r="F17" s="27"/>
      <c r="G17" s="33"/>
      <c r="H17" s="31"/>
      <c r="I17" s="31"/>
      <c r="J17" s="31"/>
      <c r="K17" s="27"/>
      <c r="L17" s="27"/>
      <c r="M17" s="27"/>
      <c r="N17" s="27"/>
      <c r="O17" s="27"/>
      <c r="P17" s="27"/>
      <c r="Q17" s="27"/>
      <c r="R17" s="26"/>
    </row>
    <row r="18" spans="2:18" ht="15" thickBot="1" x14ac:dyDescent="0.35">
      <c r="B18" s="34" t="s">
        <v>56</v>
      </c>
      <c r="C18" s="66">
        <f>C17+D17</f>
        <v>15.313810751389713</v>
      </c>
      <c r="D18" s="60"/>
      <c r="E18" s="61"/>
      <c r="F18" s="27"/>
      <c r="G18" s="27"/>
      <c r="H18" s="27"/>
      <c r="I18" s="27"/>
      <c r="J18" s="31"/>
      <c r="K18" s="27"/>
      <c r="L18" s="27"/>
      <c r="M18" s="27"/>
      <c r="N18" s="27"/>
      <c r="O18" s="27"/>
      <c r="P18" s="27"/>
      <c r="Q18" s="27"/>
      <c r="R18" s="26"/>
    </row>
    <row r="19" spans="2:18" ht="15" thickBot="1" x14ac:dyDescent="0.35">
      <c r="B19" s="27"/>
      <c r="C19" s="27"/>
      <c r="D19" s="27"/>
      <c r="E19" s="27"/>
      <c r="F19" s="38"/>
      <c r="G19" s="38"/>
      <c r="H19" s="31"/>
      <c r="I19" s="33"/>
      <c r="J19" s="31"/>
      <c r="K19" s="27"/>
      <c r="L19" s="27"/>
      <c r="M19" s="27"/>
      <c r="N19" s="27"/>
      <c r="O19" s="27"/>
      <c r="P19" s="27"/>
      <c r="Q19" s="27"/>
      <c r="R19" s="26"/>
    </row>
    <row r="20" spans="2:18" ht="15" thickBot="1" x14ac:dyDescent="0.35">
      <c r="B20" s="178" t="s">
        <v>57</v>
      </c>
      <c r="C20" s="180"/>
      <c r="D20" s="27"/>
      <c r="E20" s="27"/>
      <c r="F20" s="40"/>
      <c r="G20" s="40"/>
      <c r="H20" s="31"/>
      <c r="I20" s="33"/>
      <c r="J20" s="31"/>
      <c r="K20" s="27"/>
      <c r="L20" s="27"/>
      <c r="M20" s="27"/>
      <c r="N20" s="27"/>
      <c r="O20" s="27"/>
      <c r="P20" s="27"/>
      <c r="Q20" s="27"/>
      <c r="R20" s="26"/>
    </row>
    <row r="21" spans="2:18" ht="14.4" x14ac:dyDescent="0.3">
      <c r="B21" s="41" t="s">
        <v>53</v>
      </c>
      <c r="C21" s="62">
        <f>C11+D11+E11</f>
        <v>-4</v>
      </c>
      <c r="D21" s="27"/>
      <c r="E21" s="27"/>
      <c r="F21" s="27"/>
      <c r="G21" s="27"/>
      <c r="H21" s="31"/>
      <c r="I21" s="42"/>
      <c r="J21" s="31"/>
      <c r="K21" s="27"/>
      <c r="L21" s="27"/>
      <c r="M21" s="27"/>
      <c r="N21" s="27"/>
      <c r="O21" s="27"/>
      <c r="P21" s="27"/>
      <c r="Q21" s="27"/>
      <c r="R21" s="26"/>
    </row>
    <row r="22" spans="2:18" ht="14.4" x14ac:dyDescent="0.3">
      <c r="B22" s="32" t="s">
        <v>54</v>
      </c>
      <c r="C22" s="54">
        <f>SQRT(C12^2+D12^2+E12^2+2*Correlation*(C12*D12+C12*E12+D12*E12))</f>
        <v>31.622776601683793</v>
      </c>
      <c r="D22" s="31"/>
      <c r="E22" s="27"/>
      <c r="F22" s="27"/>
      <c r="G22" s="27"/>
      <c r="H22" s="31"/>
      <c r="I22" s="33"/>
      <c r="J22" s="31"/>
      <c r="K22" s="27"/>
      <c r="L22" s="27"/>
      <c r="M22" s="27"/>
      <c r="N22" s="27"/>
      <c r="O22" s="27"/>
      <c r="P22" s="27"/>
      <c r="Q22" s="27"/>
      <c r="R22" s="26"/>
    </row>
    <row r="23" spans="2:18" ht="15" thickBot="1" x14ac:dyDescent="0.35">
      <c r="B23" s="34" t="s">
        <v>62</v>
      </c>
      <c r="C23" s="65">
        <f>C21*NORMSDIST(C21/C22)+C22*NORMDIST(C21/C22,0,1,FALSE)</f>
        <v>10.716453558913875</v>
      </c>
      <c r="D23" s="40"/>
      <c r="E23" s="31"/>
      <c r="F23" s="27"/>
      <c r="G23" s="27"/>
      <c r="H23" s="27"/>
      <c r="I23" s="31"/>
      <c r="J23" s="31"/>
      <c r="K23" s="27"/>
      <c r="L23" s="27"/>
      <c r="M23" s="27"/>
      <c r="N23" s="27"/>
      <c r="O23" s="27"/>
      <c r="P23" s="27"/>
      <c r="Q23" s="27"/>
      <c r="R23" s="26"/>
    </row>
    <row r="24" spans="2:18" ht="15" thickBot="1" x14ac:dyDescent="0.35">
      <c r="B24" s="27"/>
      <c r="C24" s="27"/>
      <c r="D24" s="33"/>
      <c r="E24" s="40"/>
      <c r="F24" s="33"/>
      <c r="G24" s="27"/>
      <c r="H24" s="27"/>
      <c r="I24" s="33"/>
      <c r="J24" s="31"/>
      <c r="K24" s="27"/>
      <c r="L24" s="27"/>
      <c r="M24" s="27"/>
      <c r="N24" s="27"/>
      <c r="O24" s="27"/>
      <c r="P24" s="27"/>
      <c r="Q24" s="27"/>
      <c r="R24" s="26"/>
    </row>
    <row r="25" spans="2:18" ht="15" thickBot="1" x14ac:dyDescent="0.35">
      <c r="B25" s="178" t="s">
        <v>58</v>
      </c>
      <c r="C25" s="179"/>
      <c r="D25" s="179"/>
      <c r="E25" s="180"/>
      <c r="F25" s="27"/>
      <c r="G25" s="27"/>
      <c r="H25" s="27"/>
      <c r="I25" s="31"/>
      <c r="J25" s="31"/>
      <c r="K25" s="27"/>
      <c r="L25" s="27"/>
      <c r="M25" s="27"/>
      <c r="N25" s="27"/>
      <c r="O25" s="27"/>
      <c r="P25" s="27"/>
      <c r="Q25" s="27"/>
      <c r="R25" s="26"/>
    </row>
    <row r="26" spans="2:18" ht="14.4" x14ac:dyDescent="0.3">
      <c r="B26" s="28"/>
      <c r="C26" s="43" t="s">
        <v>18</v>
      </c>
      <c r="D26" s="43" t="s">
        <v>19</v>
      </c>
      <c r="E26" s="44" t="s">
        <v>52</v>
      </c>
      <c r="F26" s="45"/>
      <c r="G26" s="27"/>
      <c r="H26" s="31"/>
      <c r="I26" s="31"/>
      <c r="J26" s="31"/>
      <c r="K26" s="27"/>
      <c r="L26" s="27"/>
      <c r="M26" s="27"/>
      <c r="N26" s="27"/>
      <c r="O26" s="27"/>
      <c r="P26" s="27"/>
      <c r="Q26" s="27"/>
      <c r="R26" s="26"/>
    </row>
    <row r="27" spans="2:18" ht="14.4" x14ac:dyDescent="0.3">
      <c r="B27" s="32" t="s">
        <v>10</v>
      </c>
      <c r="C27" s="67">
        <f>C12/C22+Correlation*D12/C22</f>
        <v>0.31622776601683794</v>
      </c>
      <c r="D27" s="67">
        <f>D12/C22+Correlation*C12/C22</f>
        <v>0.94868329805051377</v>
      </c>
      <c r="E27" s="68">
        <f>E12/C22+Correlation*D12/C22</f>
        <v>0</v>
      </c>
      <c r="F27" s="27"/>
      <c r="G27" s="73" t="s">
        <v>65</v>
      </c>
      <c r="H27" s="31"/>
      <c r="I27" s="31"/>
      <c r="J27" s="31"/>
      <c r="K27" s="27"/>
      <c r="L27" s="27"/>
      <c r="M27" s="27"/>
      <c r="N27" s="27"/>
      <c r="O27" s="27"/>
      <c r="P27" s="27"/>
      <c r="Q27" s="27"/>
      <c r="R27" s="26"/>
    </row>
    <row r="28" spans="2:18" ht="14.4" x14ac:dyDescent="0.3">
      <c r="B28" s="32" t="s">
        <v>59</v>
      </c>
      <c r="C28" s="67">
        <f>C11*NORMSDIST(C21/C22)+C12*C27*NORMDIST(C21/C22,0,1,FALSE)</f>
        <v>3.9495435592877595</v>
      </c>
      <c r="D28" s="67">
        <f>D11*NORMSDIST(C21/C22)+D12*D27*NORMDIST(C21/C22,0,1,FALSE)</f>
        <v>6.7669099996261171</v>
      </c>
      <c r="E28" s="56">
        <f>E11*NORMSDIST(C21/C22)+E12*E27*NORMDIST(C21/C22,0,1,FALSE)</f>
        <v>0</v>
      </c>
      <c r="F28" s="27"/>
      <c r="G28" s="73" t="s">
        <v>66</v>
      </c>
      <c r="H28" s="31"/>
      <c r="I28" s="31"/>
      <c r="J28" s="31"/>
      <c r="K28" s="27"/>
      <c r="L28" s="27"/>
      <c r="M28" s="27"/>
      <c r="N28" s="27"/>
      <c r="O28" s="27"/>
      <c r="P28" s="27"/>
      <c r="Q28" s="27"/>
      <c r="R28" s="26"/>
    </row>
    <row r="29" spans="2:18" ht="14.4" x14ac:dyDescent="0.3">
      <c r="B29" s="32" t="s">
        <v>60</v>
      </c>
      <c r="C29" s="67">
        <f>C28+D28+E28</f>
        <v>10.716453558913877</v>
      </c>
      <c r="D29" s="63"/>
      <c r="E29" s="64"/>
      <c r="F29" s="27"/>
      <c r="G29" s="73" t="s">
        <v>67</v>
      </c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6"/>
    </row>
    <row r="30" spans="2:18" ht="15" thickBot="1" x14ac:dyDescent="0.35">
      <c r="B30" s="34" t="s">
        <v>61</v>
      </c>
      <c r="C30" s="69">
        <f>C28/TotalMargEPE</f>
        <v>0.36854949611595667</v>
      </c>
      <c r="D30" s="69">
        <f>D28/TotalMargEPE</f>
        <v>0.63145050388404333</v>
      </c>
      <c r="E30" s="70">
        <f>E28/TotalMargEPE</f>
        <v>0</v>
      </c>
      <c r="F30" s="27"/>
      <c r="G30" s="73" t="s">
        <v>68</v>
      </c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6"/>
    </row>
    <row r="31" spans="2:18" ht="14.4" x14ac:dyDescent="0.3">
      <c r="B31" s="27"/>
      <c r="C31" s="27"/>
      <c r="D31" s="27"/>
      <c r="E31" s="45"/>
      <c r="F31" s="45"/>
      <c r="G31" s="27"/>
      <c r="H31" s="31"/>
      <c r="I31" s="31"/>
      <c r="J31" s="31"/>
      <c r="K31" s="27"/>
      <c r="L31" s="27"/>
      <c r="M31" s="27"/>
      <c r="N31" s="27"/>
      <c r="O31" s="27"/>
      <c r="P31" s="27"/>
      <c r="Q31" s="27"/>
      <c r="R31" s="26"/>
    </row>
    <row r="32" spans="2:18" ht="14.4" x14ac:dyDescent="0.3">
      <c r="B32" s="27"/>
      <c r="C32" s="27"/>
      <c r="D32" s="27"/>
      <c r="E32" s="45"/>
      <c r="F32" s="45"/>
      <c r="G32" s="27"/>
      <c r="H32" s="31"/>
      <c r="I32" s="31"/>
      <c r="J32" s="31"/>
      <c r="K32" s="27"/>
      <c r="L32" s="27"/>
      <c r="M32" s="27"/>
      <c r="N32" s="27"/>
      <c r="O32" s="27"/>
      <c r="P32" s="27"/>
      <c r="Q32" s="27"/>
      <c r="R32" s="26"/>
    </row>
    <row r="33" spans="2:18" ht="15" thickBot="1" x14ac:dyDescent="0.35">
      <c r="B33" s="27"/>
      <c r="C33" s="27"/>
      <c r="D33" s="27"/>
      <c r="E33" s="45"/>
      <c r="F33" s="45"/>
      <c r="G33" s="27"/>
      <c r="H33" s="31"/>
      <c r="I33" s="31"/>
      <c r="J33" s="31"/>
      <c r="K33" s="27"/>
      <c r="L33" s="27"/>
      <c r="M33" s="27"/>
      <c r="N33" s="27"/>
      <c r="O33" s="27"/>
      <c r="P33" s="27"/>
      <c r="Q33" s="27"/>
      <c r="R33" s="26"/>
    </row>
    <row r="34" spans="2:18" ht="14.4" x14ac:dyDescent="0.3">
      <c r="B34" s="28"/>
      <c r="C34" s="46" t="s">
        <v>18</v>
      </c>
      <c r="D34" s="47" t="s">
        <v>19</v>
      </c>
      <c r="E34" s="45"/>
      <c r="F34" s="45"/>
      <c r="G34" s="27"/>
      <c r="H34" s="31"/>
      <c r="I34" s="31"/>
      <c r="J34" s="31"/>
      <c r="K34" s="27"/>
      <c r="L34" s="27"/>
      <c r="M34" s="27"/>
      <c r="N34" s="27"/>
      <c r="O34" s="27"/>
      <c r="P34" s="27"/>
      <c r="Q34" s="27"/>
      <c r="R34" s="26"/>
    </row>
    <row r="35" spans="2:18" ht="14.4" x14ac:dyDescent="0.3">
      <c r="B35" s="32">
        <v>-100</v>
      </c>
      <c r="C35" s="48">
        <f t="shared" ref="C35:C95" si="0">NORMDIST(B35,$C$11,$C$12,FALSE)</f>
        <v>1.5931111327009667E-26</v>
      </c>
      <c r="D35" s="49">
        <f t="shared" ref="D35:D95" si="1">NORMDIST(B35,$D$11,$D$12,FALSE)</f>
        <v>1.4772828039793357E-4</v>
      </c>
      <c r="E35" s="45"/>
      <c r="F35" s="45"/>
      <c r="G35" s="27"/>
      <c r="H35" s="31"/>
      <c r="I35" s="31"/>
      <c r="J35" s="31"/>
      <c r="K35" s="27"/>
      <c r="L35" s="27"/>
      <c r="M35" s="27"/>
      <c r="N35" s="27"/>
      <c r="O35" s="27"/>
      <c r="P35" s="27"/>
      <c r="Q35" s="27"/>
      <c r="R35" s="26"/>
    </row>
    <row r="36" spans="2:18" ht="14.4" x14ac:dyDescent="0.3">
      <c r="B36" s="32">
        <f>B35+5</f>
        <v>-95</v>
      </c>
      <c r="C36" s="50">
        <f t="shared" si="0"/>
        <v>2.8165665442762424E-24</v>
      </c>
      <c r="D36" s="49">
        <f t="shared" si="1"/>
        <v>2.402033254869741E-4</v>
      </c>
      <c r="E36" s="45"/>
      <c r="F36" s="45"/>
      <c r="G36" s="27"/>
      <c r="H36" s="31"/>
      <c r="I36" s="31"/>
      <c r="J36" s="31"/>
      <c r="K36" s="27"/>
      <c r="L36" s="27"/>
      <c r="M36" s="27"/>
      <c r="N36" s="27"/>
      <c r="O36" s="27"/>
      <c r="P36" s="27"/>
      <c r="Q36" s="27"/>
      <c r="R36" s="26"/>
    </row>
    <row r="37" spans="2:18" ht="14.4" x14ac:dyDescent="0.3">
      <c r="B37" s="32">
        <f t="shared" ref="B37:B95" si="2">B36+5</f>
        <v>-90</v>
      </c>
      <c r="C37" s="50">
        <f t="shared" si="0"/>
        <v>3.8781119317469604E-22</v>
      </c>
      <c r="D37" s="49">
        <f t="shared" si="1"/>
        <v>3.7986620079324805E-4</v>
      </c>
      <c r="E37" s="45"/>
      <c r="F37" s="45"/>
      <c r="G37" s="27">
        <v>0</v>
      </c>
      <c r="H37" s="38">
        <f>C28</f>
        <v>3.9495435592877595</v>
      </c>
      <c r="I37" s="38">
        <f>D28</f>
        <v>6.7669099996261171</v>
      </c>
      <c r="J37" s="31">
        <f>C17</f>
        <v>7.6867273224175552</v>
      </c>
      <c r="K37" s="31">
        <f>D17</f>
        <v>7.6270834289721581</v>
      </c>
      <c r="L37" s="27"/>
      <c r="M37" s="27"/>
      <c r="N37" s="27"/>
      <c r="O37" s="27"/>
      <c r="P37" s="27"/>
      <c r="Q37" s="27"/>
      <c r="R37" s="26"/>
    </row>
    <row r="38" spans="2:18" ht="14.4" x14ac:dyDescent="0.3">
      <c r="B38" s="32">
        <f t="shared" si="2"/>
        <v>-85</v>
      </c>
      <c r="C38" s="50">
        <f t="shared" si="0"/>
        <v>4.1585989791151602E-20</v>
      </c>
      <c r="D38" s="49">
        <f t="shared" si="1"/>
        <v>5.8427668311895138E-4</v>
      </c>
      <c r="E38" s="45"/>
      <c r="F38" s="45"/>
      <c r="G38" s="51">
        <f>MAX(C35:D95)</f>
        <v>3.9695254747701178E-2</v>
      </c>
      <c r="H38" s="38">
        <f>H37</f>
        <v>3.9495435592877595</v>
      </c>
      <c r="I38" s="38">
        <f>I37</f>
        <v>6.7669099996261171</v>
      </c>
      <c r="J38" s="31">
        <f>J37</f>
        <v>7.6867273224175552</v>
      </c>
      <c r="K38" s="31">
        <f>K37</f>
        <v>7.6270834289721581</v>
      </c>
      <c r="L38" s="27"/>
      <c r="M38" s="27"/>
      <c r="N38" s="27"/>
      <c r="O38" s="27"/>
      <c r="P38" s="27"/>
      <c r="Q38" s="27"/>
      <c r="R38" s="26"/>
    </row>
    <row r="39" spans="2:18" ht="14.4" x14ac:dyDescent="0.3">
      <c r="B39" s="32">
        <f t="shared" si="2"/>
        <v>-80</v>
      </c>
      <c r="C39" s="50">
        <f t="shared" si="0"/>
        <v>3.4729627485662083E-18</v>
      </c>
      <c r="D39" s="49">
        <f t="shared" si="1"/>
        <v>8.7406296979031619E-4</v>
      </c>
      <c r="E39" s="45"/>
      <c r="F39" s="45"/>
      <c r="G39" s="27"/>
      <c r="H39" s="31"/>
      <c r="I39" s="31"/>
      <c r="J39" s="31"/>
      <c r="K39" s="27"/>
      <c r="L39" s="27"/>
      <c r="M39" s="27"/>
      <c r="N39" s="27"/>
      <c r="O39" s="27"/>
      <c r="P39" s="27"/>
      <c r="Q39" s="27"/>
      <c r="R39" s="26"/>
    </row>
    <row r="40" spans="2:18" ht="14.4" x14ac:dyDescent="0.3">
      <c r="B40" s="32">
        <f t="shared" si="2"/>
        <v>-75</v>
      </c>
      <c r="C40" s="50">
        <f t="shared" si="0"/>
        <v>2.2588094031543033E-16</v>
      </c>
      <c r="D40" s="49">
        <f t="shared" si="1"/>
        <v>1.2717541168805993E-3</v>
      </c>
      <c r="E40" s="45"/>
      <c r="F40" s="45"/>
      <c r="G40" s="27"/>
      <c r="H40" s="31"/>
      <c r="I40" s="31"/>
      <c r="J40" s="31"/>
      <c r="K40" s="27"/>
      <c r="L40" s="27"/>
      <c r="M40" s="27"/>
      <c r="N40" s="27"/>
      <c r="O40" s="27"/>
      <c r="P40" s="27"/>
      <c r="Q40" s="27"/>
      <c r="R40" s="26"/>
    </row>
    <row r="41" spans="2:18" ht="14.4" x14ac:dyDescent="0.3">
      <c r="B41" s="32">
        <f t="shared" si="2"/>
        <v>-70</v>
      </c>
      <c r="C41" s="50">
        <f t="shared" si="0"/>
        <v>1.1441564901801369E-14</v>
      </c>
      <c r="D41" s="49">
        <f t="shared" si="1"/>
        <v>1.7996988837729354E-3</v>
      </c>
      <c r="E41" s="45"/>
      <c r="F41" s="45"/>
      <c r="G41" s="27"/>
      <c r="H41" s="31"/>
      <c r="I41" s="31"/>
      <c r="J41" s="31"/>
      <c r="K41" s="27"/>
      <c r="L41" s="27"/>
      <c r="M41" s="27"/>
      <c r="N41" s="27"/>
      <c r="O41" s="27"/>
      <c r="P41" s="27"/>
      <c r="Q41" s="27"/>
      <c r="R41" s="26"/>
    </row>
    <row r="42" spans="2:18" ht="14.4" x14ac:dyDescent="0.3">
      <c r="B42" s="32">
        <f t="shared" si="2"/>
        <v>-65</v>
      </c>
      <c r="C42" s="50">
        <f t="shared" si="0"/>
        <v>4.513543677205518E-13</v>
      </c>
      <c r="D42" s="49">
        <f t="shared" si="1"/>
        <v>2.4770387852997701E-3</v>
      </c>
      <c r="E42" s="45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6"/>
    </row>
    <row r="43" spans="2:18" ht="14.4" x14ac:dyDescent="0.3">
      <c r="B43" s="32">
        <f t="shared" si="2"/>
        <v>-60</v>
      </c>
      <c r="C43" s="50">
        <f t="shared" si="0"/>
        <v>1.3866799941653171E-11</v>
      </c>
      <c r="D43" s="49">
        <f t="shared" si="1"/>
        <v>3.3159046264249559E-3</v>
      </c>
      <c r="E43" s="45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6"/>
    </row>
    <row r="44" spans="2:18" ht="14.4" x14ac:dyDescent="0.3">
      <c r="B44" s="32">
        <f t="shared" si="2"/>
        <v>-55</v>
      </c>
      <c r="C44" s="50">
        <f t="shared" si="0"/>
        <v>3.3178842435473048E-10</v>
      </c>
      <c r="D44" s="49">
        <f t="shared" si="1"/>
        <v>4.3172531888630581E-3</v>
      </c>
      <c r="E44" s="45"/>
      <c r="F44" s="45"/>
      <c r="G44" s="27"/>
      <c r="H44" s="31"/>
      <c r="I44" s="31"/>
      <c r="J44" s="31"/>
      <c r="K44" s="27"/>
      <c r="L44" s="27"/>
      <c r="M44" s="27"/>
      <c r="N44" s="27"/>
      <c r="O44" s="27"/>
      <c r="P44" s="27"/>
      <c r="Q44" s="27"/>
      <c r="R44" s="26"/>
    </row>
    <row r="45" spans="2:18" ht="14.4" x14ac:dyDescent="0.3">
      <c r="B45" s="32">
        <f t="shared" si="2"/>
        <v>-50</v>
      </c>
      <c r="C45" s="50">
        <f t="shared" si="0"/>
        <v>6.1826205001658568E-9</v>
      </c>
      <c r="D45" s="49">
        <f t="shared" si="1"/>
        <v>5.4670024891997878E-3</v>
      </c>
      <c r="E45" s="45"/>
      <c r="F45" s="45"/>
      <c r="G45" s="27"/>
      <c r="H45" s="31"/>
      <c r="I45" s="31"/>
      <c r="J45" s="31"/>
      <c r="K45" s="27"/>
      <c r="L45" s="27"/>
      <c r="M45" s="27"/>
      <c r="N45" s="27"/>
      <c r="O45" s="27"/>
      <c r="P45" s="27"/>
      <c r="Q45" s="27"/>
      <c r="R45" s="26"/>
    </row>
    <row r="46" spans="2:18" ht="14.4" x14ac:dyDescent="0.3">
      <c r="B46" s="32">
        <f t="shared" si="2"/>
        <v>-45</v>
      </c>
      <c r="C46" s="50">
        <f t="shared" si="0"/>
        <v>8.9724351623833366E-8</v>
      </c>
      <c r="D46" s="49">
        <f t="shared" si="1"/>
        <v>6.7332895184686291E-3</v>
      </c>
      <c r="E46" s="45"/>
      <c r="F46" s="45"/>
      <c r="G46" s="27"/>
      <c r="H46" s="31"/>
      <c r="I46" s="31"/>
      <c r="J46" s="31"/>
      <c r="K46" s="27"/>
      <c r="L46" s="27"/>
      <c r="M46" s="27"/>
      <c r="N46" s="27"/>
      <c r="O46" s="27"/>
      <c r="P46" s="27"/>
      <c r="Q46" s="27"/>
      <c r="R46" s="26"/>
    </row>
    <row r="47" spans="2:18" ht="14.4" x14ac:dyDescent="0.3">
      <c r="B47" s="32">
        <f t="shared" si="2"/>
        <v>-40</v>
      </c>
      <c r="C47" s="50">
        <f t="shared" si="0"/>
        <v>1.014085206548676E-6</v>
      </c>
      <c r="D47" s="49">
        <f t="shared" si="1"/>
        <v>8.0656908173047798E-3</v>
      </c>
      <c r="E47" s="45"/>
      <c r="F47" s="45"/>
      <c r="G47" s="27"/>
      <c r="H47" s="31"/>
      <c r="I47" s="31"/>
      <c r="J47" s="31"/>
      <c r="K47" s="27"/>
      <c r="L47" s="27"/>
      <c r="M47" s="27"/>
      <c r="N47" s="27"/>
      <c r="O47" s="27"/>
      <c r="P47" s="27"/>
      <c r="Q47" s="27"/>
      <c r="R47" s="26"/>
    </row>
    <row r="48" spans="2:18" ht="14.4" x14ac:dyDescent="0.3">
      <c r="B48" s="32">
        <f t="shared" si="2"/>
        <v>-35</v>
      </c>
      <c r="C48" s="50">
        <f t="shared" si="0"/>
        <v>8.9261657177132918E-6</v>
      </c>
      <c r="D48" s="49">
        <f t="shared" si="1"/>
        <v>9.3970625136767516E-3</v>
      </c>
      <c r="E48" s="45"/>
      <c r="F48" s="45"/>
      <c r="G48" s="27"/>
      <c r="H48" s="31"/>
      <c r="I48" s="31"/>
      <c r="J48" s="31"/>
      <c r="K48" s="27"/>
      <c r="L48" s="27"/>
      <c r="M48" s="27"/>
      <c r="N48" s="27"/>
      <c r="O48" s="27"/>
      <c r="P48" s="27"/>
      <c r="Q48" s="27"/>
      <c r="R48" s="26"/>
    </row>
    <row r="49" spans="2:18" ht="14.4" x14ac:dyDescent="0.3">
      <c r="B49" s="32">
        <f t="shared" si="2"/>
        <v>-30</v>
      </c>
      <c r="C49" s="50">
        <f t="shared" si="0"/>
        <v>6.1190193011377187E-5</v>
      </c>
      <c r="D49" s="49">
        <f t="shared" si="1"/>
        <v>1.0648266850745075E-2</v>
      </c>
      <c r="E49" s="45"/>
      <c r="F49" s="45"/>
      <c r="G49" s="27"/>
      <c r="H49" s="31"/>
      <c r="I49" s="31"/>
      <c r="J49" s="31"/>
      <c r="K49" s="27"/>
      <c r="L49" s="27"/>
      <c r="M49" s="27"/>
      <c r="N49" s="27"/>
      <c r="O49" s="27"/>
      <c r="P49" s="27"/>
      <c r="Q49" s="27"/>
      <c r="R49" s="26"/>
    </row>
    <row r="50" spans="2:18" ht="14.4" x14ac:dyDescent="0.3">
      <c r="B50" s="32">
        <f t="shared" si="2"/>
        <v>-25</v>
      </c>
      <c r="C50" s="50">
        <f t="shared" si="0"/>
        <v>3.2668190561999186E-4</v>
      </c>
      <c r="D50" s="49">
        <f t="shared" si="1"/>
        <v>1.1735510892143317E-2</v>
      </c>
      <c r="E50" s="45"/>
      <c r="F50" s="45"/>
      <c r="G50" s="27"/>
      <c r="H50" s="31"/>
      <c r="I50" s="31"/>
      <c r="J50" s="31"/>
      <c r="K50" s="27"/>
      <c r="L50" s="27"/>
      <c r="M50" s="27"/>
      <c r="N50" s="27"/>
      <c r="O50" s="27"/>
      <c r="P50" s="27"/>
      <c r="Q50" s="27"/>
      <c r="R50" s="26"/>
    </row>
    <row r="51" spans="2:18" ht="14.4" x14ac:dyDescent="0.3">
      <c r="B51" s="32">
        <f t="shared" si="2"/>
        <v>-20</v>
      </c>
      <c r="C51" s="50">
        <f t="shared" si="0"/>
        <v>1.3582969233685612E-3</v>
      </c>
      <c r="D51" s="49">
        <f t="shared" si="1"/>
        <v>1.2579440923099771E-2</v>
      </c>
      <c r="E51" s="45"/>
      <c r="F51" s="45"/>
      <c r="G51" s="27"/>
      <c r="H51" s="31"/>
      <c r="I51" s="31"/>
      <c r="J51" s="31"/>
      <c r="K51" s="27"/>
      <c r="L51" s="27"/>
      <c r="M51" s="27"/>
      <c r="N51" s="27"/>
      <c r="O51" s="27"/>
      <c r="P51" s="27"/>
      <c r="Q51" s="27"/>
      <c r="R51" s="26"/>
    </row>
    <row r="52" spans="2:18" ht="14.4" x14ac:dyDescent="0.3">
      <c r="B52" s="32">
        <f t="shared" si="2"/>
        <v>-15</v>
      </c>
      <c r="C52" s="50">
        <f t="shared" si="0"/>
        <v>4.3983595980427196E-3</v>
      </c>
      <c r="D52" s="49">
        <f t="shared" si="1"/>
        <v>1.3114657203397996E-2</v>
      </c>
      <c r="E52" s="45"/>
      <c r="F52" s="45"/>
      <c r="G52" s="27"/>
      <c r="H52" s="31"/>
      <c r="I52" s="31"/>
      <c r="J52" s="31"/>
      <c r="K52" s="27"/>
      <c r="L52" s="27"/>
      <c r="M52" s="27"/>
      <c r="N52" s="27"/>
      <c r="O52" s="27"/>
      <c r="P52" s="27"/>
      <c r="Q52" s="27"/>
      <c r="R52" s="26"/>
    </row>
    <row r="53" spans="2:18" ht="14.4" x14ac:dyDescent="0.3">
      <c r="B53" s="32">
        <f t="shared" si="2"/>
        <v>-10</v>
      </c>
      <c r="C53" s="50">
        <f t="shared" si="0"/>
        <v>1.1092083467945555E-2</v>
      </c>
      <c r="D53" s="49">
        <f t="shared" si="1"/>
        <v>1.329807601338109E-2</v>
      </c>
      <c r="E53" s="45"/>
      <c r="F53" s="45"/>
      <c r="G53" s="27"/>
      <c r="H53" s="31"/>
      <c r="I53" s="31"/>
      <c r="J53" s="31"/>
      <c r="K53" s="27"/>
      <c r="L53" s="27"/>
      <c r="M53" s="27"/>
      <c r="N53" s="27"/>
      <c r="O53" s="27"/>
      <c r="P53" s="27"/>
      <c r="Q53" s="27"/>
      <c r="R53" s="26"/>
    </row>
    <row r="54" spans="2:18" ht="14.4" x14ac:dyDescent="0.3">
      <c r="B54" s="32">
        <f t="shared" si="2"/>
        <v>-5</v>
      </c>
      <c r="C54" s="50">
        <f t="shared" si="0"/>
        <v>2.1785217703255054E-2</v>
      </c>
      <c r="D54" s="49">
        <f t="shared" si="1"/>
        <v>1.3114657203397996E-2</v>
      </c>
      <c r="E54" s="45"/>
      <c r="F54" s="45"/>
      <c r="G54" s="27"/>
      <c r="H54" s="31"/>
      <c r="I54" s="31"/>
      <c r="J54" s="31"/>
      <c r="K54" s="27"/>
      <c r="L54" s="27"/>
      <c r="M54" s="27"/>
      <c r="N54" s="27"/>
      <c r="O54" s="27"/>
      <c r="P54" s="27"/>
      <c r="Q54" s="27"/>
      <c r="R54" s="26"/>
    </row>
    <row r="55" spans="2:18" ht="14.4" x14ac:dyDescent="0.3">
      <c r="B55" s="32">
        <f t="shared" si="2"/>
        <v>0</v>
      </c>
      <c r="C55" s="50">
        <f t="shared" si="0"/>
        <v>3.3322460289179963E-2</v>
      </c>
      <c r="D55" s="49">
        <f t="shared" si="1"/>
        <v>1.2579440923099771E-2</v>
      </c>
      <c r="E55" s="45"/>
      <c r="F55" s="45"/>
      <c r="G55" s="27"/>
      <c r="H55" s="31"/>
      <c r="I55" s="31"/>
      <c r="J55" s="31"/>
      <c r="K55" s="27"/>
      <c r="L55" s="27"/>
      <c r="M55" s="27"/>
      <c r="N55" s="27"/>
      <c r="O55" s="27"/>
      <c r="P55" s="27"/>
      <c r="Q55" s="27"/>
      <c r="R55" s="26"/>
    </row>
    <row r="56" spans="2:18" ht="14.4" x14ac:dyDescent="0.3">
      <c r="B56" s="32">
        <f t="shared" si="2"/>
        <v>5</v>
      </c>
      <c r="C56" s="50">
        <f t="shared" si="0"/>
        <v>3.9695254747701178E-2</v>
      </c>
      <c r="D56" s="49">
        <f t="shared" si="1"/>
        <v>1.1735510892143317E-2</v>
      </c>
      <c r="E56" s="45"/>
      <c r="F56" s="45"/>
      <c r="G56" s="27"/>
      <c r="H56" s="31"/>
      <c r="I56" s="31"/>
      <c r="J56" s="31"/>
      <c r="K56" s="27"/>
      <c r="L56" s="27"/>
      <c r="M56" s="27"/>
      <c r="N56" s="27"/>
      <c r="O56" s="27"/>
      <c r="P56" s="27"/>
      <c r="Q56" s="27"/>
      <c r="R56" s="26"/>
    </row>
    <row r="57" spans="2:18" ht="14.4" x14ac:dyDescent="0.3">
      <c r="B57" s="32">
        <f t="shared" si="2"/>
        <v>10</v>
      </c>
      <c r="C57" s="50">
        <f t="shared" si="0"/>
        <v>3.6827014030332332E-2</v>
      </c>
      <c r="D57" s="49">
        <f t="shared" si="1"/>
        <v>1.0648266850745075E-2</v>
      </c>
      <c r="E57" s="45"/>
      <c r="F57" s="45"/>
      <c r="G57" s="27"/>
      <c r="H57" s="31"/>
      <c r="I57" s="31"/>
      <c r="J57" s="31"/>
      <c r="K57" s="27"/>
      <c r="L57" s="27"/>
      <c r="M57" s="27"/>
      <c r="N57" s="27"/>
      <c r="O57" s="27"/>
      <c r="P57" s="27"/>
      <c r="Q57" s="27"/>
      <c r="R57" s="26"/>
    </row>
    <row r="58" spans="2:18" ht="14.4" x14ac:dyDescent="0.3">
      <c r="B58" s="32">
        <f t="shared" si="2"/>
        <v>15</v>
      </c>
      <c r="C58" s="50">
        <f t="shared" si="0"/>
        <v>2.6608524989875482E-2</v>
      </c>
      <c r="D58" s="49">
        <f t="shared" si="1"/>
        <v>9.3970625136767516E-3</v>
      </c>
      <c r="E58" s="45"/>
      <c r="F58" s="45"/>
      <c r="G58" s="27"/>
      <c r="H58" s="31"/>
      <c r="I58" s="31"/>
      <c r="J58" s="31"/>
      <c r="K58" s="27"/>
      <c r="L58" s="27"/>
      <c r="M58" s="27"/>
      <c r="N58" s="27"/>
      <c r="O58" s="27"/>
      <c r="P58" s="27"/>
      <c r="Q58" s="27"/>
      <c r="R58" s="26"/>
    </row>
    <row r="59" spans="2:18" ht="14.4" x14ac:dyDescent="0.3">
      <c r="B59" s="32">
        <f t="shared" si="2"/>
        <v>20</v>
      </c>
      <c r="C59" s="50">
        <f t="shared" si="0"/>
        <v>1.4972746563574486E-2</v>
      </c>
      <c r="D59" s="49">
        <f t="shared" si="1"/>
        <v>8.0656908173047798E-3</v>
      </c>
      <c r="E59" s="45"/>
      <c r="F59" s="45"/>
      <c r="G59" s="27"/>
      <c r="H59" s="31"/>
      <c r="I59" s="31"/>
      <c r="J59" s="31"/>
      <c r="K59" s="27"/>
      <c r="L59" s="27"/>
      <c r="M59" s="27"/>
      <c r="N59" s="27"/>
      <c r="O59" s="27"/>
      <c r="P59" s="27"/>
      <c r="Q59" s="27"/>
      <c r="R59" s="26"/>
    </row>
    <row r="60" spans="2:18" ht="14.4" x14ac:dyDescent="0.3">
      <c r="B60" s="32">
        <f t="shared" si="2"/>
        <v>25</v>
      </c>
      <c r="C60" s="50">
        <f t="shared" si="0"/>
        <v>6.5615814774676604E-3</v>
      </c>
      <c r="D60" s="49">
        <f t="shared" si="1"/>
        <v>6.7332895184686291E-3</v>
      </c>
      <c r="E60" s="45"/>
      <c r="F60" s="45"/>
      <c r="G60" s="27"/>
      <c r="H60" s="31"/>
      <c r="I60" s="31"/>
      <c r="J60" s="31"/>
      <c r="K60" s="27"/>
      <c r="L60" s="27"/>
      <c r="M60" s="27"/>
      <c r="N60" s="27"/>
      <c r="O60" s="27"/>
      <c r="P60" s="27"/>
      <c r="Q60" s="27"/>
      <c r="R60" s="26"/>
    </row>
    <row r="61" spans="2:18" ht="14.4" x14ac:dyDescent="0.3">
      <c r="B61" s="32">
        <f t="shared" si="2"/>
        <v>30</v>
      </c>
      <c r="C61" s="50">
        <f t="shared" si="0"/>
        <v>2.2394530294842902E-3</v>
      </c>
      <c r="D61" s="49">
        <f t="shared" si="1"/>
        <v>5.4670024891997878E-3</v>
      </c>
      <c r="E61" s="45"/>
      <c r="F61" s="45"/>
      <c r="G61" s="27"/>
      <c r="H61" s="31"/>
      <c r="I61" s="31"/>
      <c r="J61" s="31"/>
      <c r="K61" s="27"/>
      <c r="L61" s="27"/>
      <c r="M61" s="27"/>
      <c r="N61" s="27"/>
      <c r="O61" s="27"/>
      <c r="P61" s="27"/>
      <c r="Q61" s="27"/>
      <c r="R61" s="26"/>
    </row>
    <row r="62" spans="2:18" ht="14.4" x14ac:dyDescent="0.3">
      <c r="B62" s="32">
        <f t="shared" si="2"/>
        <v>35</v>
      </c>
      <c r="C62" s="50">
        <f t="shared" si="0"/>
        <v>5.9525324197758534E-4</v>
      </c>
      <c r="D62" s="49">
        <f t="shared" si="1"/>
        <v>4.3172531888630581E-3</v>
      </c>
      <c r="E62" s="45"/>
      <c r="F62" s="45"/>
      <c r="G62" s="27"/>
      <c r="H62" s="31"/>
      <c r="I62" s="31"/>
      <c r="J62" s="31"/>
      <c r="K62" s="27"/>
      <c r="L62" s="27"/>
      <c r="M62" s="27"/>
      <c r="N62" s="27"/>
      <c r="O62" s="27"/>
      <c r="P62" s="27"/>
      <c r="Q62" s="27"/>
      <c r="R62" s="26"/>
    </row>
    <row r="63" spans="2:18" ht="14.4" x14ac:dyDescent="0.3">
      <c r="B63" s="32">
        <f t="shared" si="2"/>
        <v>40</v>
      </c>
      <c r="C63" s="50">
        <f t="shared" si="0"/>
        <v>1.2322191684730198E-4</v>
      </c>
      <c r="D63" s="49">
        <f t="shared" si="1"/>
        <v>3.3159046264249559E-3</v>
      </c>
      <c r="E63" s="45"/>
      <c r="F63" s="45"/>
      <c r="G63" s="27"/>
      <c r="H63" s="31"/>
      <c r="I63" s="31"/>
      <c r="J63" s="31"/>
      <c r="K63" s="27"/>
      <c r="L63" s="27"/>
      <c r="M63" s="27"/>
      <c r="N63" s="27"/>
      <c r="O63" s="27"/>
      <c r="P63" s="27"/>
      <c r="Q63" s="27"/>
      <c r="R63" s="26"/>
    </row>
    <row r="64" spans="2:18" ht="14.4" x14ac:dyDescent="0.3">
      <c r="B64" s="32">
        <f t="shared" si="2"/>
        <v>45</v>
      </c>
      <c r="C64" s="50">
        <f t="shared" si="0"/>
        <v>1.9865547139277272E-5</v>
      </c>
      <c r="D64" s="49">
        <f t="shared" si="1"/>
        <v>2.4770387852997701E-3</v>
      </c>
      <c r="E64" s="45"/>
      <c r="F64" s="45"/>
      <c r="G64" s="27"/>
      <c r="H64" s="31"/>
      <c r="I64" s="31"/>
      <c r="J64" s="31"/>
      <c r="K64" s="27"/>
      <c r="L64" s="27"/>
      <c r="M64" s="27"/>
      <c r="N64" s="27"/>
      <c r="O64" s="27"/>
      <c r="P64" s="27"/>
      <c r="Q64" s="27"/>
      <c r="R64" s="26"/>
    </row>
    <row r="65" spans="2:18" ht="14.4" x14ac:dyDescent="0.3">
      <c r="B65" s="32">
        <f t="shared" si="2"/>
        <v>50</v>
      </c>
      <c r="C65" s="50">
        <f t="shared" si="0"/>
        <v>2.4942471290053532E-6</v>
      </c>
      <c r="D65" s="49">
        <f t="shared" si="1"/>
        <v>1.7996988837729354E-3</v>
      </c>
      <c r="E65" s="45"/>
      <c r="F65" s="45"/>
      <c r="G65" s="27"/>
      <c r="H65" s="31"/>
      <c r="I65" s="31"/>
      <c r="J65" s="31"/>
      <c r="K65" s="27"/>
      <c r="L65" s="27"/>
      <c r="M65" s="27"/>
      <c r="N65" s="27"/>
      <c r="O65" s="27"/>
      <c r="P65" s="27"/>
      <c r="Q65" s="27"/>
      <c r="R65" s="26"/>
    </row>
    <row r="66" spans="2:18" ht="14.4" x14ac:dyDescent="0.3">
      <c r="B66" s="32">
        <f t="shared" si="2"/>
        <v>55</v>
      </c>
      <c r="C66" s="50">
        <f t="shared" si="0"/>
        <v>2.438960745893352E-7</v>
      </c>
      <c r="D66" s="49">
        <f t="shared" si="1"/>
        <v>1.2717541168805993E-3</v>
      </c>
      <c r="E66" s="45"/>
      <c r="F66" s="45"/>
      <c r="G66" s="27"/>
      <c r="H66" s="31"/>
      <c r="I66" s="31"/>
      <c r="J66" s="31"/>
      <c r="K66" s="27"/>
      <c r="L66" s="27"/>
      <c r="M66" s="27"/>
      <c r="N66" s="27"/>
      <c r="O66" s="27"/>
      <c r="P66" s="27"/>
      <c r="Q66" s="27"/>
      <c r="R66" s="26"/>
    </row>
    <row r="67" spans="2:18" ht="14.4" x14ac:dyDescent="0.3">
      <c r="B67" s="32">
        <f t="shared" si="2"/>
        <v>60</v>
      </c>
      <c r="C67" s="50">
        <f t="shared" si="0"/>
        <v>1.8573618445552898E-8</v>
      </c>
      <c r="D67" s="49">
        <f t="shared" si="1"/>
        <v>8.7406296979031619E-4</v>
      </c>
      <c r="E67" s="45"/>
      <c r="F67" s="45"/>
      <c r="G67" s="27"/>
      <c r="H67" s="31"/>
      <c r="I67" s="31"/>
      <c r="J67" s="31"/>
      <c r="K67" s="27"/>
      <c r="L67" s="27"/>
      <c r="M67" s="27"/>
      <c r="N67" s="27"/>
      <c r="O67" s="27"/>
      <c r="P67" s="27"/>
      <c r="Q67" s="27"/>
      <c r="R67" s="26"/>
    </row>
    <row r="68" spans="2:18" ht="14.4" x14ac:dyDescent="0.3">
      <c r="B68" s="32">
        <f t="shared" si="2"/>
        <v>65</v>
      </c>
      <c r="C68" s="50">
        <f t="shared" si="0"/>
        <v>1.1015763624682308E-9</v>
      </c>
      <c r="D68" s="49">
        <f t="shared" si="1"/>
        <v>5.8427668311895138E-4</v>
      </c>
      <c r="E68" s="45"/>
      <c r="F68" s="45"/>
      <c r="G68" s="27"/>
      <c r="H68" s="31"/>
      <c r="I68" s="31"/>
      <c r="J68" s="31"/>
      <c r="K68" s="27"/>
      <c r="L68" s="27"/>
      <c r="M68" s="27"/>
      <c r="N68" s="27"/>
      <c r="O68" s="27"/>
      <c r="P68" s="27"/>
      <c r="Q68" s="27"/>
      <c r="R68" s="26"/>
    </row>
    <row r="69" spans="2:18" ht="14.4" x14ac:dyDescent="0.3">
      <c r="B69" s="32">
        <f t="shared" si="2"/>
        <v>70</v>
      </c>
      <c r="C69" s="50">
        <f t="shared" si="0"/>
        <v>5.0881402816450391E-11</v>
      </c>
      <c r="D69" s="49">
        <f t="shared" si="1"/>
        <v>3.7986620079324805E-4</v>
      </c>
      <c r="E69" s="45"/>
      <c r="F69" s="45"/>
      <c r="G69" s="27"/>
      <c r="H69" s="31"/>
      <c r="I69" s="31"/>
      <c r="J69" s="31"/>
      <c r="K69" s="27"/>
      <c r="L69" s="27"/>
      <c r="M69" s="27"/>
      <c r="N69" s="27"/>
      <c r="O69" s="27"/>
      <c r="P69" s="27"/>
      <c r="Q69" s="27"/>
      <c r="R69" s="26"/>
    </row>
    <row r="70" spans="2:18" ht="14.4" x14ac:dyDescent="0.3">
      <c r="B70" s="32">
        <f t="shared" si="2"/>
        <v>75</v>
      </c>
      <c r="C70" s="50">
        <f t="shared" si="0"/>
        <v>1.8303322170155717E-12</v>
      </c>
      <c r="D70" s="49">
        <f t="shared" si="1"/>
        <v>2.402033254869741E-4</v>
      </c>
      <c r="E70" s="45"/>
      <c r="F70" s="45"/>
      <c r="G70" s="27"/>
      <c r="H70" s="31"/>
      <c r="I70" s="31"/>
      <c r="J70" s="31"/>
      <c r="K70" s="27"/>
      <c r="L70" s="27"/>
      <c r="M70" s="27"/>
      <c r="N70" s="27"/>
      <c r="O70" s="27"/>
      <c r="P70" s="27"/>
      <c r="Q70" s="27"/>
      <c r="R70" s="26"/>
    </row>
    <row r="71" spans="2:18" ht="14.4" x14ac:dyDescent="0.3">
      <c r="B71" s="32">
        <f t="shared" si="2"/>
        <v>80</v>
      </c>
      <c r="C71" s="50">
        <f t="shared" si="0"/>
        <v>5.1277536367966629E-14</v>
      </c>
      <c r="D71" s="49">
        <f t="shared" si="1"/>
        <v>1.4772828039793357E-4</v>
      </c>
      <c r="E71" s="45"/>
      <c r="F71" s="45"/>
      <c r="G71" s="27"/>
      <c r="H71" s="31"/>
      <c r="I71" s="31"/>
      <c r="J71" s="31"/>
      <c r="K71" s="27"/>
      <c r="L71" s="27"/>
      <c r="M71" s="27"/>
      <c r="N71" s="27"/>
      <c r="O71" s="27"/>
      <c r="P71" s="27"/>
      <c r="Q71" s="27"/>
      <c r="R71" s="26"/>
    </row>
    <row r="72" spans="2:18" ht="14.4" x14ac:dyDescent="0.3">
      <c r="B72" s="32">
        <f t="shared" si="2"/>
        <v>85</v>
      </c>
      <c r="C72" s="50">
        <f t="shared" si="0"/>
        <v>1.1187956214351817E-15</v>
      </c>
      <c r="D72" s="49">
        <f t="shared" si="1"/>
        <v>8.8365865147670177E-5</v>
      </c>
      <c r="E72" s="45"/>
      <c r="F72" s="45"/>
      <c r="G72" s="27"/>
      <c r="H72" s="31"/>
      <c r="I72" s="31"/>
      <c r="J72" s="31"/>
      <c r="K72" s="27"/>
      <c r="L72" s="27"/>
      <c r="M72" s="27"/>
      <c r="N72" s="27"/>
      <c r="O72" s="27"/>
      <c r="P72" s="27"/>
      <c r="Q72" s="27"/>
      <c r="R72" s="26"/>
    </row>
    <row r="73" spans="2:18" ht="14.4" x14ac:dyDescent="0.3">
      <c r="B73" s="32">
        <f t="shared" si="2"/>
        <v>90</v>
      </c>
      <c r="C73" s="50">
        <f t="shared" si="0"/>
        <v>1.9010815379079636E-17</v>
      </c>
      <c r="D73" s="49">
        <f t="shared" si="1"/>
        <v>5.140929987637017E-5</v>
      </c>
      <c r="E73" s="45"/>
      <c r="F73" s="45"/>
      <c r="G73" s="27"/>
      <c r="H73" s="31"/>
      <c r="I73" s="31"/>
      <c r="J73" s="31"/>
      <c r="K73" s="27"/>
      <c r="L73" s="27"/>
      <c r="M73" s="27"/>
      <c r="N73" s="27"/>
      <c r="O73" s="27"/>
      <c r="P73" s="27"/>
      <c r="Q73" s="27"/>
      <c r="R73" s="26"/>
    </row>
    <row r="74" spans="2:18" ht="14.4" x14ac:dyDescent="0.3">
      <c r="B74" s="32">
        <f t="shared" si="2"/>
        <v>95</v>
      </c>
      <c r="C74" s="50">
        <f t="shared" si="0"/>
        <v>2.5158057769514047E-19</v>
      </c>
      <c r="D74" s="49">
        <f t="shared" si="1"/>
        <v>2.9089423168192001E-5</v>
      </c>
      <c r="E74" s="45"/>
      <c r="F74" s="45"/>
      <c r="G74" s="27"/>
      <c r="H74" s="31"/>
      <c r="I74" s="31"/>
      <c r="J74" s="31"/>
      <c r="K74" s="27"/>
      <c r="L74" s="27"/>
      <c r="M74" s="27"/>
      <c r="N74" s="27"/>
      <c r="O74" s="27"/>
      <c r="P74" s="27"/>
      <c r="Q74" s="27"/>
      <c r="R74" s="26"/>
    </row>
    <row r="75" spans="2:18" ht="14.4" x14ac:dyDescent="0.3">
      <c r="B75" s="32">
        <f t="shared" si="2"/>
        <v>100</v>
      </c>
      <c r="C75" s="50">
        <f t="shared" si="0"/>
        <v>2.5928647011003709E-21</v>
      </c>
      <c r="D75" s="49">
        <f t="shared" si="1"/>
        <v>1.6009021720694022E-5</v>
      </c>
      <c r="E75" s="45"/>
      <c r="F75" s="45"/>
      <c r="G75" s="27"/>
      <c r="H75" s="31"/>
      <c r="I75" s="31"/>
      <c r="J75" s="31"/>
      <c r="K75" s="27"/>
      <c r="L75" s="27"/>
      <c r="M75" s="27"/>
      <c r="N75" s="27"/>
      <c r="O75" s="27"/>
      <c r="P75" s="27"/>
      <c r="Q75" s="27"/>
      <c r="R75" s="26"/>
    </row>
    <row r="76" spans="2:18" ht="14.4" x14ac:dyDescent="0.3">
      <c r="B76" s="32">
        <f t="shared" si="2"/>
        <v>105</v>
      </c>
      <c r="C76" s="50">
        <f t="shared" si="0"/>
        <v>2.0811768202028245E-23</v>
      </c>
      <c r="D76" s="49">
        <f t="shared" si="1"/>
        <v>8.5690118354102107E-6</v>
      </c>
      <c r="E76" s="45"/>
      <c r="F76" s="45"/>
      <c r="G76" s="27"/>
      <c r="H76" s="31"/>
      <c r="I76" s="31"/>
      <c r="J76" s="31"/>
      <c r="K76" s="27"/>
      <c r="L76" s="27"/>
      <c r="M76" s="27"/>
      <c r="N76" s="27"/>
      <c r="O76" s="27"/>
      <c r="P76" s="27"/>
      <c r="Q76" s="27"/>
      <c r="R76" s="26"/>
    </row>
    <row r="77" spans="2:18" ht="14.4" x14ac:dyDescent="0.3">
      <c r="B77" s="32">
        <f t="shared" si="2"/>
        <v>110</v>
      </c>
      <c r="C77" s="50">
        <f t="shared" si="0"/>
        <v>1.3009616199239129E-25</v>
      </c>
      <c r="D77" s="49">
        <f t="shared" si="1"/>
        <v>4.4610075254961786E-6</v>
      </c>
      <c r="E77" s="45"/>
      <c r="F77" s="45"/>
      <c r="G77" s="27"/>
      <c r="H77" s="31"/>
      <c r="I77" s="31"/>
      <c r="J77" s="31"/>
      <c r="K77" s="27"/>
      <c r="L77" s="27"/>
      <c r="M77" s="27"/>
      <c r="N77" s="27"/>
      <c r="O77" s="27"/>
      <c r="P77" s="27"/>
      <c r="Q77" s="27"/>
      <c r="R77" s="26"/>
    </row>
    <row r="78" spans="2:18" ht="14.4" x14ac:dyDescent="0.3">
      <c r="B78" s="32">
        <f t="shared" si="2"/>
        <v>115</v>
      </c>
      <c r="C78" s="50">
        <f t="shared" si="0"/>
        <v>6.3335378218306056E-28</v>
      </c>
      <c r="D78" s="49">
        <f t="shared" si="1"/>
        <v>2.2587669962939213E-6</v>
      </c>
      <c r="E78" s="45"/>
      <c r="F78" s="45"/>
      <c r="G78" s="27"/>
      <c r="H78" s="31"/>
      <c r="I78" s="31"/>
      <c r="J78" s="31"/>
      <c r="K78" s="27"/>
      <c r="L78" s="27"/>
      <c r="M78" s="27"/>
      <c r="N78" s="27"/>
      <c r="O78" s="27"/>
      <c r="P78" s="27"/>
      <c r="Q78" s="27"/>
      <c r="R78" s="26"/>
    </row>
    <row r="79" spans="2:18" ht="14.4" x14ac:dyDescent="0.3">
      <c r="B79" s="32">
        <f t="shared" si="2"/>
        <v>120</v>
      </c>
      <c r="C79" s="50">
        <f t="shared" si="0"/>
        <v>2.4013454000085361E-30</v>
      </c>
      <c r="D79" s="49">
        <f t="shared" si="1"/>
        <v>1.1123620798546142E-6</v>
      </c>
      <c r="E79" s="45"/>
      <c r="F79" s="45"/>
      <c r="G79" s="27"/>
      <c r="H79" s="31"/>
      <c r="I79" s="31"/>
      <c r="J79" s="31"/>
      <c r="K79" s="27"/>
      <c r="L79" s="27"/>
      <c r="M79" s="27"/>
      <c r="N79" s="27"/>
      <c r="O79" s="27"/>
      <c r="P79" s="27"/>
      <c r="Q79" s="27"/>
      <c r="R79" s="26"/>
    </row>
    <row r="80" spans="2:18" ht="14.4" x14ac:dyDescent="0.3">
      <c r="B80" s="32">
        <f t="shared" si="2"/>
        <v>125</v>
      </c>
      <c r="C80" s="50">
        <f t="shared" si="0"/>
        <v>7.0907026684280599E-33</v>
      </c>
      <c r="D80" s="49">
        <f t="shared" si="1"/>
        <v>5.3279137023018252E-7</v>
      </c>
      <c r="E80" s="45"/>
      <c r="F80" s="45"/>
      <c r="G80" s="27"/>
      <c r="H80" s="31"/>
      <c r="I80" s="31"/>
      <c r="J80" s="31"/>
      <c r="K80" s="27"/>
      <c r="L80" s="27"/>
      <c r="M80" s="27"/>
      <c r="N80" s="27"/>
      <c r="O80" s="27"/>
      <c r="P80" s="27"/>
      <c r="Q80" s="27"/>
      <c r="R80" s="26"/>
    </row>
    <row r="81" spans="2:18" ht="14.4" x14ac:dyDescent="0.3">
      <c r="B81" s="32">
        <f t="shared" si="2"/>
        <v>130</v>
      </c>
      <c r="C81" s="50">
        <f t="shared" si="0"/>
        <v>1.6306107348396452E-35</v>
      </c>
      <c r="D81" s="49">
        <f t="shared" si="1"/>
        <v>2.4820152902099964E-7</v>
      </c>
      <c r="E81" s="45"/>
      <c r="F81" s="45"/>
      <c r="G81" s="27"/>
      <c r="H81" s="31"/>
      <c r="I81" s="31"/>
      <c r="J81" s="31"/>
      <c r="K81" s="27"/>
      <c r="L81" s="27"/>
      <c r="M81" s="27"/>
      <c r="N81" s="27"/>
      <c r="O81" s="27"/>
      <c r="P81" s="27"/>
      <c r="Q81" s="27"/>
      <c r="R81" s="26"/>
    </row>
    <row r="82" spans="2:18" ht="14.4" x14ac:dyDescent="0.3">
      <c r="B82" s="32">
        <f t="shared" si="2"/>
        <v>135</v>
      </c>
      <c r="C82" s="50">
        <f t="shared" si="0"/>
        <v>2.9203687938681377E-38</v>
      </c>
      <c r="D82" s="49">
        <f t="shared" si="1"/>
        <v>1.1245738687156054E-7</v>
      </c>
      <c r="E82" s="45"/>
      <c r="F82" s="45"/>
      <c r="G82" s="27"/>
      <c r="H82" s="31"/>
      <c r="I82" s="31"/>
      <c r="J82" s="31"/>
      <c r="K82" s="27"/>
      <c r="L82" s="27"/>
      <c r="M82" s="27"/>
      <c r="N82" s="27"/>
      <c r="O82" s="27"/>
      <c r="P82" s="27"/>
      <c r="Q82" s="27"/>
      <c r="R82" s="26"/>
    </row>
    <row r="83" spans="2:18" ht="14.4" x14ac:dyDescent="0.3">
      <c r="B83" s="32">
        <f t="shared" si="2"/>
        <v>140</v>
      </c>
      <c r="C83" s="50">
        <f t="shared" si="0"/>
        <v>4.0733476775278454E-41</v>
      </c>
      <c r="D83" s="49">
        <f t="shared" si="1"/>
        <v>4.9557317157809931E-8</v>
      </c>
      <c r="E83" s="45"/>
      <c r="F83" s="45"/>
      <c r="G83" s="27"/>
      <c r="H83" s="31"/>
      <c r="I83" s="31"/>
      <c r="J83" s="31"/>
      <c r="K83" s="27"/>
      <c r="L83" s="27"/>
      <c r="M83" s="27"/>
      <c r="N83" s="27"/>
      <c r="O83" s="27"/>
      <c r="P83" s="27"/>
      <c r="Q83" s="27"/>
      <c r="R83" s="26"/>
    </row>
    <row r="84" spans="2:18" ht="14.4" x14ac:dyDescent="0.3">
      <c r="B84" s="32">
        <f t="shared" si="2"/>
        <v>145</v>
      </c>
      <c r="C84" s="50">
        <f t="shared" si="0"/>
        <v>4.4247795833161674E-44</v>
      </c>
      <c r="D84" s="49">
        <f t="shared" si="1"/>
        <v>2.1240456738902849E-8</v>
      </c>
      <c r="E84" s="45"/>
      <c r="F84" s="45"/>
      <c r="G84" s="27"/>
      <c r="H84" s="31"/>
      <c r="I84" s="31"/>
      <c r="J84" s="31"/>
      <c r="K84" s="27"/>
      <c r="L84" s="27"/>
      <c r="M84" s="27"/>
      <c r="N84" s="27"/>
      <c r="O84" s="27"/>
      <c r="P84" s="27"/>
      <c r="Q84" s="27"/>
      <c r="R84" s="26"/>
    </row>
    <row r="85" spans="2:18" ht="14.4" x14ac:dyDescent="0.3">
      <c r="B85" s="32">
        <f t="shared" si="2"/>
        <v>150</v>
      </c>
      <c r="C85" s="50">
        <f t="shared" si="0"/>
        <v>3.743330579885009E-47</v>
      </c>
      <c r="D85" s="49">
        <f t="shared" si="1"/>
        <v>8.8543396950730428E-9</v>
      </c>
      <c r="E85" s="45"/>
      <c r="F85" s="45"/>
      <c r="G85" s="27"/>
      <c r="H85" s="31"/>
      <c r="I85" s="31"/>
      <c r="J85" s="31"/>
      <c r="K85" s="27"/>
      <c r="L85" s="27"/>
      <c r="M85" s="27"/>
      <c r="N85" s="27"/>
      <c r="O85" s="27"/>
      <c r="P85" s="27"/>
      <c r="Q85" s="27"/>
      <c r="R85" s="26"/>
    </row>
    <row r="86" spans="2:18" ht="14.4" x14ac:dyDescent="0.3">
      <c r="B86" s="32">
        <f t="shared" si="2"/>
        <v>155</v>
      </c>
      <c r="C86" s="50">
        <f t="shared" si="0"/>
        <v>2.466329525880551E-50</v>
      </c>
      <c r="D86" s="49">
        <f t="shared" si="1"/>
        <v>3.5899200141810921E-9</v>
      </c>
      <c r="E86" s="45"/>
      <c r="F86" s="45"/>
      <c r="G86" s="27"/>
      <c r="H86" s="31"/>
      <c r="I86" s="31"/>
      <c r="J86" s="31"/>
      <c r="K86" s="27"/>
      <c r="L86" s="27"/>
      <c r="M86" s="27"/>
      <c r="N86" s="27"/>
      <c r="O86" s="27"/>
      <c r="P86" s="27"/>
      <c r="Q86" s="27"/>
      <c r="R86" s="26"/>
    </row>
    <row r="87" spans="2:18" ht="14.4" x14ac:dyDescent="0.3">
      <c r="B87" s="32">
        <f t="shared" si="2"/>
        <v>160</v>
      </c>
      <c r="C87" s="50">
        <f t="shared" si="0"/>
        <v>1.2655240466047518E-53</v>
      </c>
      <c r="D87" s="49">
        <f t="shared" si="1"/>
        <v>1.4156295821516289E-9</v>
      </c>
      <c r="E87" s="45"/>
      <c r="F87" s="45"/>
      <c r="G87" s="27"/>
      <c r="H87" s="31"/>
      <c r="I87" s="31"/>
      <c r="J87" s="31"/>
      <c r="K87" s="27"/>
      <c r="L87" s="27"/>
      <c r="M87" s="27"/>
      <c r="N87" s="27"/>
      <c r="O87" s="27"/>
      <c r="P87" s="27"/>
      <c r="Q87" s="27"/>
      <c r="R87" s="26"/>
    </row>
    <row r="88" spans="2:18" ht="14.4" x14ac:dyDescent="0.3">
      <c r="B88" s="32">
        <f t="shared" si="2"/>
        <v>165</v>
      </c>
      <c r="C88" s="50">
        <f t="shared" si="0"/>
        <v>5.057269304375426E-57</v>
      </c>
      <c r="D88" s="49">
        <f t="shared" si="1"/>
        <v>5.4293864025285136E-10</v>
      </c>
      <c r="E88" s="45"/>
      <c r="F88" s="45"/>
      <c r="G88" s="27"/>
      <c r="H88" s="31"/>
      <c r="I88" s="31"/>
      <c r="J88" s="31"/>
      <c r="K88" s="27"/>
      <c r="L88" s="27"/>
      <c r="M88" s="27"/>
      <c r="N88" s="27"/>
      <c r="O88" s="27"/>
      <c r="P88" s="27"/>
      <c r="Q88" s="27"/>
      <c r="R88" s="26"/>
    </row>
    <row r="89" spans="2:18" ht="14.4" x14ac:dyDescent="0.3">
      <c r="B89" s="32">
        <f t="shared" si="2"/>
        <v>170</v>
      </c>
      <c r="C89" s="50">
        <f t="shared" si="0"/>
        <v>1.573939879776645E-60</v>
      </c>
      <c r="D89" s="49">
        <f t="shared" si="1"/>
        <v>2.0252942832744286E-10</v>
      </c>
      <c r="E89" s="45"/>
      <c r="F89" s="45"/>
      <c r="G89" s="27"/>
      <c r="H89" s="31"/>
      <c r="I89" s="31"/>
      <c r="J89" s="31"/>
      <c r="K89" s="27"/>
      <c r="L89" s="27"/>
      <c r="M89" s="27"/>
      <c r="N89" s="27"/>
      <c r="O89" s="27"/>
      <c r="P89" s="27"/>
      <c r="Q89" s="27"/>
      <c r="R89" s="26"/>
    </row>
    <row r="90" spans="2:18" ht="14.4" x14ac:dyDescent="0.3">
      <c r="B90" s="32">
        <f t="shared" si="2"/>
        <v>175</v>
      </c>
      <c r="C90" s="50">
        <f t="shared" si="0"/>
        <v>3.814930036150269E-64</v>
      </c>
      <c r="D90" s="49">
        <f t="shared" si="1"/>
        <v>7.3478754658720724E-11</v>
      </c>
      <c r="E90" s="45"/>
      <c r="F90" s="45"/>
      <c r="G90" s="27"/>
      <c r="H90" s="31"/>
      <c r="I90" s="31"/>
      <c r="J90" s="31"/>
      <c r="K90" s="27"/>
      <c r="L90" s="27"/>
      <c r="M90" s="27"/>
      <c r="N90" s="27"/>
      <c r="O90" s="27"/>
      <c r="P90" s="27"/>
      <c r="Q90" s="27"/>
      <c r="R90" s="26"/>
    </row>
    <row r="91" spans="2:18" ht="14.4" x14ac:dyDescent="0.3">
      <c r="B91" s="32">
        <f t="shared" si="2"/>
        <v>180</v>
      </c>
      <c r="C91" s="50">
        <f t="shared" si="0"/>
        <v>7.2013081527191162E-68</v>
      </c>
      <c r="D91" s="49">
        <f t="shared" si="1"/>
        <v>2.5928160226898982E-11</v>
      </c>
      <c r="E91" s="45"/>
      <c r="F91" s="45"/>
      <c r="G91" s="27"/>
      <c r="H91" s="31"/>
      <c r="I91" s="31"/>
      <c r="J91" s="31"/>
      <c r="K91" s="27"/>
      <c r="L91" s="27"/>
      <c r="M91" s="27"/>
      <c r="N91" s="27"/>
      <c r="O91" s="27"/>
      <c r="P91" s="27"/>
      <c r="Q91" s="27"/>
      <c r="R91" s="26"/>
    </row>
    <row r="92" spans="2:18" ht="14.4" x14ac:dyDescent="0.3">
      <c r="B92" s="32">
        <f t="shared" si="2"/>
        <v>185</v>
      </c>
      <c r="C92" s="50">
        <f t="shared" si="0"/>
        <v>1.0586748413641459E-71</v>
      </c>
      <c r="D92" s="49">
        <f t="shared" si="1"/>
        <v>8.8985220492095073E-12</v>
      </c>
      <c r="E92" s="27"/>
      <c r="F92" s="27"/>
      <c r="G92" s="27"/>
      <c r="H92" s="31"/>
      <c r="I92" s="31"/>
      <c r="J92" s="31"/>
      <c r="K92" s="27"/>
      <c r="L92" s="27"/>
      <c r="M92" s="27"/>
      <c r="N92" s="27"/>
      <c r="O92" s="27"/>
      <c r="P92" s="27"/>
      <c r="Q92" s="27"/>
      <c r="R92" s="26"/>
    </row>
    <row r="93" spans="2:18" ht="14.4" x14ac:dyDescent="0.3">
      <c r="B93" s="32">
        <f t="shared" si="2"/>
        <v>190</v>
      </c>
      <c r="C93" s="50">
        <f t="shared" si="0"/>
        <v>1.212104794907882E-75</v>
      </c>
      <c r="D93" s="49">
        <f t="shared" si="1"/>
        <v>2.9703000624507173E-12</v>
      </c>
      <c r="E93" s="27"/>
      <c r="F93" s="27"/>
      <c r="G93" s="27"/>
      <c r="H93" s="31"/>
      <c r="I93" s="31"/>
      <c r="J93" s="31"/>
      <c r="K93" s="27"/>
      <c r="L93" s="27"/>
      <c r="M93" s="27"/>
      <c r="N93" s="27"/>
      <c r="O93" s="27"/>
      <c r="P93" s="27"/>
      <c r="Q93" s="27"/>
      <c r="R93" s="26"/>
    </row>
    <row r="94" spans="2:18" ht="14.4" x14ac:dyDescent="0.3">
      <c r="B94" s="32">
        <f t="shared" si="2"/>
        <v>195</v>
      </c>
      <c r="C94" s="50">
        <f t="shared" si="0"/>
        <v>1.0807969874547754E-79</v>
      </c>
      <c r="D94" s="49">
        <f t="shared" si="1"/>
        <v>9.6431524406928905E-13</v>
      </c>
      <c r="E94" s="27"/>
      <c r="F94" s="27"/>
      <c r="G94" s="27"/>
      <c r="H94" s="31"/>
      <c r="I94" s="31"/>
      <c r="J94" s="31"/>
      <c r="K94" s="27"/>
      <c r="L94" s="27"/>
      <c r="M94" s="27"/>
      <c r="N94" s="27"/>
      <c r="O94" s="27"/>
      <c r="P94" s="27"/>
      <c r="Q94" s="27"/>
      <c r="R94" s="26"/>
    </row>
    <row r="95" spans="2:18" ht="15" thickBot="1" x14ac:dyDescent="0.35">
      <c r="B95" s="34">
        <f t="shared" si="2"/>
        <v>200</v>
      </c>
      <c r="C95" s="52">
        <f t="shared" si="0"/>
        <v>7.505410686455268E-84</v>
      </c>
      <c r="D95" s="53">
        <f t="shared" si="1"/>
        <v>3.0449068027881982E-13</v>
      </c>
      <c r="E95" s="27"/>
      <c r="F95" s="27"/>
      <c r="G95" s="27"/>
      <c r="H95" s="31"/>
      <c r="I95" s="31"/>
      <c r="J95" s="31"/>
      <c r="K95" s="27"/>
      <c r="L95" s="27"/>
      <c r="M95" s="27"/>
      <c r="N95" s="27"/>
      <c r="O95" s="27"/>
      <c r="P95" s="27"/>
      <c r="Q95" s="27"/>
      <c r="R95" s="26"/>
    </row>
    <row r="96" spans="2:18" ht="14.4" x14ac:dyDescent="0.3"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6"/>
    </row>
    <row r="97" spans="2:18" ht="14.4" x14ac:dyDescent="0.3"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6"/>
    </row>
    <row r="98" spans="2:18" ht="14.4" x14ac:dyDescent="0.3"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6"/>
    </row>
    <row r="99" spans="2:18" ht="14.4" x14ac:dyDescent="0.3"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6"/>
    </row>
  </sheetData>
  <mergeCells count="4">
    <mergeCell ref="B9:E9"/>
    <mergeCell ref="B15:E15"/>
    <mergeCell ref="B20:C20"/>
    <mergeCell ref="B25:E25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CD9E6-E29F-421F-AC0E-0AE89F0AF9F7}">
  <sheetPr codeName="Sheet8"/>
  <dimension ref="B1:N36"/>
  <sheetViews>
    <sheetView showGridLines="0" zoomScaleNormal="100" workbookViewId="0">
      <pane ySplit="7" topLeftCell="A8" activePane="bottomLeft" state="frozen"/>
      <selection pane="bottomLeft" activeCell="C28" sqref="C28"/>
    </sheetView>
  </sheetViews>
  <sheetFormatPr defaultRowHeight="13.2" x14ac:dyDescent="0.25"/>
  <cols>
    <col min="2" max="2" width="19" bestFit="1" customWidth="1"/>
    <col min="3" max="3" width="10.77734375" customWidth="1"/>
    <col min="4" max="4" width="14" bestFit="1" customWidth="1"/>
    <col min="5" max="8" width="10.77734375" customWidth="1"/>
  </cols>
  <sheetData>
    <row r="1" spans="2:14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4" x14ac:dyDescent="0.2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2:14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4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4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4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4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4" ht="13.8" thickBot="1" x14ac:dyDescent="0.3"/>
    <row r="9" spans="2:14" x14ac:dyDescent="0.25">
      <c r="B9" s="148"/>
      <c r="C9" s="150" t="s">
        <v>69</v>
      </c>
      <c r="D9" s="150" t="s">
        <v>70</v>
      </c>
      <c r="E9" s="149" t="s">
        <v>71</v>
      </c>
    </row>
    <row r="10" spans="2:14" ht="16.2" customHeight="1" x14ac:dyDescent="0.3">
      <c r="B10" s="146" t="s">
        <v>44</v>
      </c>
      <c r="C10" s="139">
        <v>20</v>
      </c>
      <c r="D10" s="154">
        <v>20</v>
      </c>
      <c r="E10" s="155">
        <v>-20</v>
      </c>
      <c r="F10" s="19"/>
      <c r="G10" s="181"/>
      <c r="H10" s="181"/>
      <c r="I10" s="73" t="s">
        <v>65</v>
      </c>
    </row>
    <row r="11" spans="2:14" ht="14.4" x14ac:dyDescent="0.3">
      <c r="B11" s="146" t="s">
        <v>45</v>
      </c>
      <c r="C11" s="139">
        <v>18</v>
      </c>
      <c r="D11" s="154">
        <v>15</v>
      </c>
      <c r="E11" s="156">
        <v>-15</v>
      </c>
      <c r="F11" s="19"/>
      <c r="H11" s="19"/>
      <c r="I11" s="73" t="s">
        <v>66</v>
      </c>
    </row>
    <row r="12" spans="2:14" ht="14.4" x14ac:dyDescent="0.3">
      <c r="B12" s="166" t="s">
        <v>47</v>
      </c>
      <c r="C12" s="139">
        <v>0</v>
      </c>
      <c r="D12" s="165">
        <v>3</v>
      </c>
      <c r="E12" s="156">
        <v>3</v>
      </c>
      <c r="F12" s="153" t="b">
        <v>1</v>
      </c>
      <c r="G12" s="17"/>
      <c r="H12" s="17"/>
      <c r="I12" s="73" t="s">
        <v>67</v>
      </c>
    </row>
    <row r="13" spans="2:14" ht="14.4" x14ac:dyDescent="0.3">
      <c r="B13" s="147" t="s">
        <v>46</v>
      </c>
      <c r="C13" s="151">
        <v>3</v>
      </c>
      <c r="D13" s="157">
        <v>3</v>
      </c>
      <c r="E13" s="156">
        <v>3</v>
      </c>
      <c r="F13" s="153" t="b">
        <v>1</v>
      </c>
      <c r="G13" s="17"/>
      <c r="H13" s="17"/>
      <c r="I13" s="73" t="s">
        <v>68</v>
      </c>
    </row>
    <row r="14" spans="2:14" ht="14.4" x14ac:dyDescent="0.3">
      <c r="B14" s="74" t="s">
        <v>42</v>
      </c>
      <c r="C14" s="140">
        <f>MAX(PortfolioValue-VariationMargin-InitialMarginReceived+InitialMarginPosted*IF(PostedIMSeg=FALSE,1,0),0)</f>
        <v>0</v>
      </c>
      <c r="D14" s="158">
        <f>MAX(D10-D11-D13+D12*IF(PostedIMSeg=FALSE,1,0),0)</f>
        <v>2</v>
      </c>
      <c r="E14" s="159">
        <f>MAX(E10-E11-E13+E12*IF(PostedIMSeg=FALSE,1,0),0)</f>
        <v>0</v>
      </c>
      <c r="F14" s="17"/>
      <c r="G14" s="17"/>
      <c r="H14" s="17"/>
    </row>
    <row r="15" spans="2:14" ht="14.4" x14ac:dyDescent="0.3">
      <c r="B15" s="74" t="s">
        <v>43</v>
      </c>
      <c r="C15" s="152">
        <f>MIN(PortfolioValue-VariationMargin-InitialMarginReceived*IF(RecIMSeg=FALSE,1,0)+InitialMarginPosted,0)</f>
        <v>0</v>
      </c>
      <c r="D15" s="158">
        <f>MIN(D10-D11-D13*IF(RecIMSeg=FALSE,1,0)+D12,0)</f>
        <v>0</v>
      </c>
      <c r="E15" s="160">
        <f>MIN(E10-E11-E13*IF(RecIMSeg=FALSE,1,0)+E12,0)</f>
        <v>-2</v>
      </c>
    </row>
    <row r="16" spans="2:14" ht="14.4" x14ac:dyDescent="0.3">
      <c r="B16" s="74" t="s">
        <v>48</v>
      </c>
      <c r="C16" s="152">
        <f>PortfolioValue-VariationMargin+InitialMarginPosted-InitialMarginReceived*IF(RecIMSeg=FALSE,1,0)</f>
        <v>2</v>
      </c>
      <c r="D16" s="158">
        <f>D10-D11+D12-D13*IF(RecIMSeg=FALSE,1,0)</f>
        <v>8</v>
      </c>
      <c r="E16" s="160">
        <f>E10-E11+E12-E13*IF(RecIMSeg=FALSE,1,0)</f>
        <v>-2</v>
      </c>
    </row>
    <row r="17" spans="2:6" ht="14.4" x14ac:dyDescent="0.3">
      <c r="B17" s="74" t="s">
        <v>72</v>
      </c>
      <c r="C17" s="161">
        <f>PortfolioValue-VariationMargin</f>
        <v>2</v>
      </c>
      <c r="D17" s="162">
        <f>D10-D11</f>
        <v>5</v>
      </c>
      <c r="E17" s="160">
        <f>E10-E11</f>
        <v>-5</v>
      </c>
    </row>
    <row r="18" spans="2:6" ht="15" thickBot="1" x14ac:dyDescent="0.35">
      <c r="B18" s="93" t="s">
        <v>73</v>
      </c>
      <c r="C18" s="143">
        <f>InitialMarginPosted</f>
        <v>0</v>
      </c>
      <c r="D18" s="163">
        <f>D12</f>
        <v>3</v>
      </c>
      <c r="E18" s="164">
        <f>E12</f>
        <v>3</v>
      </c>
    </row>
    <row r="20" spans="2:6" ht="14.4" x14ac:dyDescent="0.3">
      <c r="B20" s="79"/>
      <c r="C20" s="79"/>
      <c r="D20" s="5"/>
      <c r="E20" s="5"/>
    </row>
    <row r="21" spans="2:6" ht="14.4" x14ac:dyDescent="0.3">
      <c r="B21" s="79"/>
      <c r="C21" s="79"/>
      <c r="D21" s="5"/>
      <c r="E21" s="5"/>
    </row>
    <row r="22" spans="2:6" ht="14.4" x14ac:dyDescent="0.3">
      <c r="B22" s="79"/>
      <c r="C22" s="79"/>
      <c r="D22" s="5"/>
      <c r="E22" s="5"/>
    </row>
    <row r="23" spans="2:6" x14ac:dyDescent="0.25">
      <c r="B23" s="5"/>
      <c r="C23" s="5"/>
      <c r="D23" s="5"/>
      <c r="E23" s="5"/>
    </row>
    <row r="24" spans="2:6" x14ac:dyDescent="0.25">
      <c r="B24" s="5"/>
      <c r="C24" s="5"/>
      <c r="D24" s="5"/>
      <c r="E24" s="5"/>
      <c r="F24" s="5"/>
    </row>
    <row r="25" spans="2:6" x14ac:dyDescent="0.25">
      <c r="B25" s="5"/>
      <c r="C25" s="5"/>
      <c r="D25" s="5"/>
      <c r="E25" s="5"/>
      <c r="F25" s="5"/>
    </row>
    <row r="26" spans="2:6" x14ac:dyDescent="0.25">
      <c r="B26" s="5"/>
      <c r="C26" s="5"/>
      <c r="D26" s="5"/>
      <c r="E26" s="5"/>
      <c r="F26" s="5"/>
    </row>
    <row r="27" spans="2:6" x14ac:dyDescent="0.25">
      <c r="B27" s="5"/>
      <c r="C27" s="5"/>
      <c r="D27" s="5"/>
      <c r="E27" s="5"/>
      <c r="F27" s="5"/>
    </row>
    <row r="28" spans="2:6" x14ac:dyDescent="0.25">
      <c r="B28" s="5"/>
      <c r="C28" s="5"/>
      <c r="D28" s="5"/>
      <c r="E28" s="5"/>
      <c r="F28" s="5"/>
    </row>
    <row r="29" spans="2:6" x14ac:dyDescent="0.25">
      <c r="B29" s="5"/>
      <c r="C29" s="5"/>
      <c r="D29" s="5"/>
      <c r="E29" s="5"/>
      <c r="F29" s="5"/>
    </row>
    <row r="30" spans="2:6" x14ac:dyDescent="0.25">
      <c r="B30" s="5"/>
      <c r="C30" s="5"/>
      <c r="D30" s="5"/>
      <c r="E30" s="5"/>
      <c r="F30" s="5"/>
    </row>
    <row r="31" spans="2:6" x14ac:dyDescent="0.25">
      <c r="B31" s="5"/>
      <c r="C31" s="5"/>
      <c r="D31" s="5"/>
      <c r="E31" s="5"/>
      <c r="F31" s="5"/>
    </row>
    <row r="32" spans="2:6" x14ac:dyDescent="0.25">
      <c r="B32" s="5"/>
      <c r="C32" s="5"/>
      <c r="D32" s="5"/>
      <c r="E32" s="5"/>
      <c r="F32" s="5"/>
    </row>
    <row r="33" spans="2:6" x14ac:dyDescent="0.25">
      <c r="B33" s="5"/>
      <c r="C33" s="5"/>
      <c r="D33" s="5"/>
      <c r="E33" s="5"/>
      <c r="F33" s="5"/>
    </row>
    <row r="34" spans="2:6" x14ac:dyDescent="0.25">
      <c r="B34" s="5"/>
      <c r="C34" s="5"/>
      <c r="D34" s="5"/>
      <c r="E34" s="5"/>
      <c r="F34" s="5"/>
    </row>
    <row r="35" spans="2:6" x14ac:dyDescent="0.25">
      <c r="B35" s="5"/>
      <c r="C35" s="5"/>
      <c r="D35" s="5"/>
      <c r="E35" s="5"/>
      <c r="F35" s="5"/>
    </row>
    <row r="36" spans="2:6" x14ac:dyDescent="0.25">
      <c r="B36" s="5"/>
      <c r="C36" s="5"/>
      <c r="D36" s="5"/>
      <c r="E36" s="5"/>
      <c r="F36" s="5"/>
    </row>
  </sheetData>
  <mergeCells count="1">
    <mergeCell ref="G10:H10"/>
  </mergeCells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Check Box 3">
              <controlPr defaultSize="0" autoFill="0" autoLine="0" autoPict="0">
                <anchor moveWithCells="1">
                  <from>
                    <xdr:col>5</xdr:col>
                    <xdr:colOff>60960</xdr:colOff>
                    <xdr:row>10</xdr:row>
                    <xdr:rowOff>152400</xdr:rowOff>
                  </from>
                  <to>
                    <xdr:col>6</xdr:col>
                    <xdr:colOff>129540</xdr:colOff>
                    <xdr:row>12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5" name="Check Box 4">
              <controlPr defaultSize="0" autoFill="0" autoLine="0" autoPict="0">
                <anchor moveWithCells="1">
                  <from>
                    <xdr:col>5</xdr:col>
                    <xdr:colOff>60960</xdr:colOff>
                    <xdr:row>11</xdr:row>
                    <xdr:rowOff>175260</xdr:rowOff>
                  </from>
                  <to>
                    <xdr:col>6</xdr:col>
                    <xdr:colOff>129540</xdr:colOff>
                    <xdr:row>13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27</vt:i4>
      </vt:variant>
    </vt:vector>
  </HeadingPairs>
  <TitlesOfParts>
    <vt:vector size="34" baseType="lpstr">
      <vt:lpstr>10.1 Exposure Metrics</vt:lpstr>
      <vt:lpstr>10.2 EPE and PFE</vt:lpstr>
      <vt:lpstr>10.3 CDS Exposure</vt:lpstr>
      <vt:lpstr>10.4 XCCY Swap</vt:lpstr>
      <vt:lpstr>10.5 Netting</vt:lpstr>
      <vt:lpstr>10.6 Marginal Exposure</vt:lpstr>
      <vt:lpstr>10.7 Collateral Impact</vt:lpstr>
      <vt:lpstr>Alpha</vt:lpstr>
      <vt:lpstr>CDSSpread</vt:lpstr>
      <vt:lpstr>ConfLevel1</vt:lpstr>
      <vt:lpstr>'10.6 Marginal Exposure'!Correlation</vt:lpstr>
      <vt:lpstr>ENE</vt:lpstr>
      <vt:lpstr>EPE</vt:lpstr>
      <vt:lpstr>FXVol</vt:lpstr>
      <vt:lpstr>HazardRate</vt:lpstr>
      <vt:lpstr>InitialMarginPosted</vt:lpstr>
      <vt:lpstr>InitialMarginReceived</vt:lpstr>
      <vt:lpstr>IRate</vt:lpstr>
      <vt:lpstr>IRFXCorr</vt:lpstr>
      <vt:lpstr>IRVol</vt:lpstr>
      <vt:lpstr>IRVol2</vt:lpstr>
      <vt:lpstr>LGD</vt:lpstr>
      <vt:lpstr>Mu</vt:lpstr>
      <vt:lpstr>'10.6 Marginal Exposure'!Mult1</vt:lpstr>
      <vt:lpstr>'10.6 Marginal Exposure'!Mult2</vt:lpstr>
      <vt:lpstr>PFEhigh</vt:lpstr>
      <vt:lpstr>PFElow</vt:lpstr>
      <vt:lpstr>PortfolioValue</vt:lpstr>
      <vt:lpstr>PostedIMSeg</vt:lpstr>
      <vt:lpstr>RecIMSeg</vt:lpstr>
      <vt:lpstr>Sigma</vt:lpstr>
      <vt:lpstr>SpreadVol</vt:lpstr>
      <vt:lpstr>'10.6 Marginal Exposure'!TotalMargEPE</vt:lpstr>
      <vt:lpstr>VariationMargin</vt:lpstr>
    </vt:vector>
  </TitlesOfParts>
  <Company>Home 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Gregory</dc:creator>
  <cp:lastModifiedBy>Jon Gregory</cp:lastModifiedBy>
  <dcterms:created xsi:type="dcterms:W3CDTF">2009-11-27T11:14:55Z</dcterms:created>
  <dcterms:modified xsi:type="dcterms:W3CDTF">2026-06-10T10:53:08Z</dcterms:modified>
</cp:coreProperties>
</file>