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02eee3437eb7218/Documents/xVA Book 4th Edition/Spreadsheets/"/>
    </mc:Choice>
  </mc:AlternateContent>
  <xr:revisionPtr revIDLastSave="17" documentId="8_{48B4A275-A5D9-448B-9D65-715C2AFB8B96}" xr6:coauthVersionLast="45" xr6:coauthVersionMax="45" xr10:uidLastSave="{197AD3F5-27C8-43EC-AD0E-8E5B3FEC37CE}"/>
  <bookViews>
    <workbookView xWindow="-108" yWindow="-108" windowWidth="23256" windowHeight="12576" activeTab="3" xr2:uid="{00000000-000D-0000-FFFF-FFFF00000000}"/>
  </bookViews>
  <sheets>
    <sheet name="11.1" sheetId="15" r:id="rId1"/>
    <sheet name="11.2" sheetId="1" r:id="rId2"/>
    <sheet name="11.3" sheetId="10" r:id="rId3"/>
    <sheet name="11.4" sheetId="11" r:id="rId4"/>
    <sheet name="11.5" sheetId="14" r:id="rId5"/>
    <sheet name="11.6" sheetId="16" r:id="rId6"/>
  </sheets>
  <definedNames>
    <definedName name="Alpha">'11.2'!$C$12</definedName>
    <definedName name="CDSSpread">'11.4'!$C$10</definedName>
    <definedName name="ConfLevel1">'11.4'!$C$15</definedName>
    <definedName name="ConfLevel2">'11.4'!#REF!</definedName>
    <definedName name="ENE">'11.2'!$C$16</definedName>
    <definedName name="EPE">'11.2'!$C$15</definedName>
    <definedName name="FXVol">'11.3'!$C$12</definedName>
    <definedName name="HazardRate">'11.4'!$C$17</definedName>
    <definedName name="InitialMarginPosted">'11.6'!$C$13</definedName>
    <definedName name="InitialMarginReceived">'11.6'!$C$12</definedName>
    <definedName name="IRate">'11.4'!$C$12</definedName>
    <definedName name="IRFXCorr">'11.3'!$C$13</definedName>
    <definedName name="IRVol">'11.3'!$C$10</definedName>
    <definedName name="IRVol2">'11.3'!$C$11</definedName>
    <definedName name="Mu">'11.2'!$C$10</definedName>
    <definedName name="PFEhigh">'11.2'!$C$17</definedName>
    <definedName name="PFElow">'11.2'!$C$18</definedName>
    <definedName name="PortfolioValue">'11.6'!$C$10</definedName>
    <definedName name="PostedIMSeg">'11.6'!$D$13</definedName>
    <definedName name="Rec">'11.4'!$C$11</definedName>
    <definedName name="RecIMSeg">'11.6'!$D$12</definedName>
    <definedName name="Sigma">'11.2'!$C$11</definedName>
    <definedName name="Spread">'11.4'!$C$13</definedName>
    <definedName name="SpreadVol">'11.4'!$C$14</definedName>
    <definedName name="VariationMargin">'11.6'!$C$11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1" l="1"/>
  <c r="C21" i="11"/>
  <c r="C20" i="11"/>
  <c r="F69" i="10" l="1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19" i="10"/>
  <c r="F18" i="10"/>
  <c r="F17" i="10"/>
  <c r="F16" i="10"/>
  <c r="F20" i="10"/>
  <c r="C20" i="10"/>
  <c r="E20" i="10"/>
  <c r="D20" i="10"/>
  <c r="D19" i="10"/>
  <c r="E19" i="10"/>
  <c r="C19" i="10"/>
  <c r="E14" i="14" l="1"/>
  <c r="C17" i="16" l="1"/>
  <c r="C16" i="16"/>
  <c r="C15" i="16"/>
  <c r="G16" i="14" l="1"/>
  <c r="G15" i="14"/>
  <c r="G14" i="14"/>
  <c r="G13" i="14"/>
  <c r="G12" i="14"/>
  <c r="H16" i="14"/>
  <c r="H15" i="14"/>
  <c r="H14" i="14"/>
  <c r="H13" i="14"/>
  <c r="H12" i="14"/>
  <c r="D17" i="14"/>
  <c r="C17" i="14"/>
  <c r="F16" i="14"/>
  <c r="E16" i="14"/>
  <c r="F15" i="14"/>
  <c r="E15" i="14"/>
  <c r="F14" i="14"/>
  <c r="F13" i="14"/>
  <c r="E13" i="14"/>
  <c r="F12" i="14"/>
  <c r="E12" i="14"/>
  <c r="D19" i="14"/>
  <c r="C19" i="14"/>
  <c r="D18" i="14"/>
  <c r="C18" i="14"/>
  <c r="E20" i="11"/>
  <c r="E18" i="14" l="1"/>
  <c r="H19" i="14"/>
  <c r="G19" i="14"/>
  <c r="F18" i="14"/>
  <c r="E22" i="11" l="1"/>
  <c r="E21" i="11"/>
  <c r="D20" i="11"/>
  <c r="D17" i="10"/>
  <c r="D18" i="10"/>
  <c r="D21" i="10"/>
  <c r="D16" i="10"/>
  <c r="C16" i="10"/>
  <c r="G20" i="11" l="1"/>
  <c r="F20" i="11"/>
  <c r="E21" i="10" l="1"/>
  <c r="C21" i="10"/>
  <c r="E18" i="10"/>
  <c r="C18" i="10"/>
  <c r="E17" i="10"/>
  <c r="C17" i="10"/>
  <c r="E16" i="10"/>
  <c r="F22" i="15"/>
  <c r="F23" i="15"/>
  <c r="F21" i="15"/>
  <c r="F20" i="15"/>
  <c r="C16" i="15"/>
  <c r="C18" i="15"/>
  <c r="C17" i="15"/>
  <c r="C15" i="15"/>
  <c r="C16" i="1"/>
  <c r="I10" i="1" s="1"/>
  <c r="I11" i="1" s="1"/>
  <c r="C17" i="1"/>
  <c r="L10" i="1" s="1"/>
  <c r="L11" i="1" s="1"/>
  <c r="C15" i="1"/>
  <c r="H10" i="1" s="1"/>
  <c r="H11" i="1" s="1"/>
  <c r="C18" i="1"/>
  <c r="M10" i="1" s="1"/>
  <c r="M11" i="1" s="1"/>
  <c r="B18" i="1"/>
  <c r="B17" i="1"/>
  <c r="J13" i="11" l="1"/>
  <c r="B23" i="11" l="1"/>
  <c r="B22" i="10"/>
  <c r="D22" i="10" s="1"/>
  <c r="F10" i="1"/>
  <c r="G10" i="1" s="1"/>
  <c r="K10" i="1"/>
  <c r="K11" i="1" s="1"/>
  <c r="C23" i="11" l="1"/>
  <c r="E23" i="11"/>
  <c r="B23" i="10"/>
  <c r="D23" i="10" s="1"/>
  <c r="C23" i="10"/>
  <c r="E23" i="10"/>
  <c r="E22" i="10"/>
  <c r="C22" i="10"/>
  <c r="F11" i="1"/>
  <c r="D21" i="11"/>
  <c r="B24" i="11"/>
  <c r="C24" i="11" s="1"/>
  <c r="D22" i="11"/>
  <c r="D23" i="11"/>
  <c r="B24" i="10"/>
  <c r="D24" i="10" s="1"/>
  <c r="E24" i="11" l="1"/>
  <c r="G23" i="11"/>
  <c r="F23" i="11"/>
  <c r="F22" i="11"/>
  <c r="G22" i="11"/>
  <c r="F21" i="11"/>
  <c r="G21" i="11"/>
  <c r="E24" i="10"/>
  <c r="C24" i="10"/>
  <c r="F12" i="1"/>
  <c r="G11" i="1"/>
  <c r="B25" i="11"/>
  <c r="D24" i="11"/>
  <c r="B25" i="10"/>
  <c r="D25" i="10" s="1"/>
  <c r="E25" i="11" l="1"/>
  <c r="C25" i="11"/>
  <c r="G24" i="11"/>
  <c r="F24" i="11"/>
  <c r="E25" i="10"/>
  <c r="C25" i="10"/>
  <c r="F13" i="1"/>
  <c r="G12" i="1"/>
  <c r="D25" i="11"/>
  <c r="B26" i="11"/>
  <c r="B26" i="10"/>
  <c r="D26" i="10" s="1"/>
  <c r="C26" i="11" l="1"/>
  <c r="F25" i="11"/>
  <c r="G25" i="11"/>
  <c r="E26" i="11"/>
  <c r="E26" i="10"/>
  <c r="C26" i="10"/>
  <c r="F14" i="1"/>
  <c r="G13" i="1"/>
  <c r="B27" i="11"/>
  <c r="D26" i="11"/>
  <c r="B27" i="10"/>
  <c r="D27" i="10" s="1"/>
  <c r="G26" i="11" l="1"/>
  <c r="C27" i="11"/>
  <c r="F26" i="11"/>
  <c r="E27" i="11"/>
  <c r="C27" i="10"/>
  <c r="E27" i="10"/>
  <c r="G14" i="1"/>
  <c r="F15" i="1"/>
  <c r="D27" i="11"/>
  <c r="B28" i="11"/>
  <c r="B28" i="10"/>
  <c r="D28" i="10" s="1"/>
  <c r="G27" i="11" l="1"/>
  <c r="E28" i="11"/>
  <c r="C28" i="11"/>
  <c r="G28" i="11" s="1"/>
  <c r="F27" i="11"/>
  <c r="E28" i="10"/>
  <c r="C28" i="10"/>
  <c r="G15" i="1"/>
  <c r="F16" i="1"/>
  <c r="B29" i="11"/>
  <c r="C29" i="11" s="1"/>
  <c r="D28" i="11"/>
  <c r="B29" i="10"/>
  <c r="D29" i="10" s="1"/>
  <c r="F28" i="11" l="1"/>
  <c r="E29" i="11"/>
  <c r="E29" i="10"/>
  <c r="C29" i="10"/>
  <c r="G16" i="1"/>
  <c r="F17" i="1"/>
  <c r="D29" i="11"/>
  <c r="F29" i="11" s="1"/>
  <c r="B30" i="11"/>
  <c r="C30" i="11" s="1"/>
  <c r="B30" i="10"/>
  <c r="D30" i="10" s="1"/>
  <c r="G29" i="11" l="1"/>
  <c r="E30" i="11"/>
  <c r="E30" i="10"/>
  <c r="C30" i="10"/>
  <c r="G17" i="1"/>
  <c r="F18" i="1"/>
  <c r="D30" i="11"/>
  <c r="F30" i="11" s="1"/>
  <c r="B31" i="11"/>
  <c r="C31" i="11" s="1"/>
  <c r="B31" i="10"/>
  <c r="D31" i="10" s="1"/>
  <c r="G30" i="11" l="1"/>
  <c r="E31" i="11"/>
  <c r="C31" i="10"/>
  <c r="E31" i="10"/>
  <c r="G18" i="1"/>
  <c r="F19" i="1"/>
  <c r="D31" i="11"/>
  <c r="F31" i="11" s="1"/>
  <c r="B32" i="11"/>
  <c r="C32" i="11" s="1"/>
  <c r="B32" i="10"/>
  <c r="D32" i="10" s="1"/>
  <c r="G31" i="11" l="1"/>
  <c r="E32" i="11"/>
  <c r="E32" i="10"/>
  <c r="C32" i="10"/>
  <c r="G19" i="1"/>
  <c r="F20" i="1"/>
  <c r="D32" i="11"/>
  <c r="B33" i="11"/>
  <c r="C33" i="11" s="1"/>
  <c r="B33" i="10"/>
  <c r="D33" i="10" s="1"/>
  <c r="F32" i="11" l="1"/>
  <c r="E33" i="11"/>
  <c r="G32" i="11"/>
  <c r="E33" i="10"/>
  <c r="C33" i="10"/>
  <c r="G20" i="1"/>
  <c r="F21" i="1"/>
  <c r="D33" i="11"/>
  <c r="B34" i="11"/>
  <c r="C34" i="11" s="1"/>
  <c r="B34" i="10"/>
  <c r="D34" i="10" s="1"/>
  <c r="F33" i="11" l="1"/>
  <c r="G33" i="11"/>
  <c r="E34" i="11"/>
  <c r="E34" i="10"/>
  <c r="C34" i="10"/>
  <c r="F22" i="1"/>
  <c r="G21" i="1"/>
  <c r="D34" i="11"/>
  <c r="B35" i="11"/>
  <c r="C35" i="11" s="1"/>
  <c r="B35" i="10"/>
  <c r="D35" i="10" s="1"/>
  <c r="F34" i="11" l="1"/>
  <c r="G34" i="11"/>
  <c r="E35" i="11"/>
  <c r="C35" i="10"/>
  <c r="E35" i="10"/>
  <c r="G22" i="1"/>
  <c r="F23" i="1"/>
  <c r="B36" i="11"/>
  <c r="D35" i="11"/>
  <c r="B36" i="10"/>
  <c r="D36" i="10" s="1"/>
  <c r="G35" i="11" l="1"/>
  <c r="E36" i="11"/>
  <c r="C36" i="11"/>
  <c r="F35" i="11"/>
  <c r="E36" i="10"/>
  <c r="C36" i="10"/>
  <c r="G23" i="1"/>
  <c r="F24" i="1"/>
  <c r="D36" i="11"/>
  <c r="B37" i="11"/>
  <c r="D37" i="11"/>
  <c r="B37" i="10"/>
  <c r="D37" i="10" s="1"/>
  <c r="G36" i="11" l="1"/>
  <c r="E37" i="11"/>
  <c r="C37" i="11"/>
  <c r="B38" i="11"/>
  <c r="C38" i="11" s="1"/>
  <c r="F36" i="11"/>
  <c r="E37" i="10"/>
  <c r="C37" i="10"/>
  <c r="G24" i="1"/>
  <c r="F25" i="1"/>
  <c r="B38" i="10"/>
  <c r="D38" i="10" s="1"/>
  <c r="G37" i="11" l="1"/>
  <c r="B39" i="11"/>
  <c r="E39" i="11" s="1"/>
  <c r="D38" i="11"/>
  <c r="E38" i="11"/>
  <c r="F38" i="11" s="1"/>
  <c r="C39" i="11"/>
  <c r="F37" i="11"/>
  <c r="E38" i="10"/>
  <c r="C38" i="10"/>
  <c r="G25" i="1"/>
  <c r="F26" i="1"/>
  <c r="B39" i="10"/>
  <c r="D39" i="10" s="1"/>
  <c r="G38" i="11" l="1"/>
  <c r="D39" i="11"/>
  <c r="F39" i="11" s="1"/>
  <c r="B40" i="11"/>
  <c r="C40" i="11" s="1"/>
  <c r="C39" i="10"/>
  <c r="E39" i="10"/>
  <c r="F27" i="1"/>
  <c r="G26" i="1"/>
  <c r="B40" i="10"/>
  <c r="D40" i="10" s="1"/>
  <c r="E40" i="11" l="1"/>
  <c r="G40" i="11" s="1"/>
  <c r="D40" i="11"/>
  <c r="F40" i="11" s="1"/>
  <c r="B41" i="11"/>
  <c r="D41" i="11" s="1"/>
  <c r="G39" i="11"/>
  <c r="C41" i="11"/>
  <c r="E40" i="10"/>
  <c r="C40" i="10"/>
  <c r="G27" i="1"/>
  <c r="F28" i="1"/>
  <c r="B41" i="10"/>
  <c r="D41" i="10" s="1"/>
  <c r="E41" i="11" l="1"/>
  <c r="F41" i="11" s="1"/>
  <c r="E41" i="10"/>
  <c r="C41" i="10"/>
  <c r="G28" i="1"/>
  <c r="F29" i="1"/>
  <c r="B42" i="10"/>
  <c r="D42" i="10" s="1"/>
  <c r="G41" i="11" l="1"/>
  <c r="E42" i="10"/>
  <c r="C42" i="10"/>
  <c r="G29" i="1"/>
  <c r="F30" i="1"/>
  <c r="B43" i="10"/>
  <c r="D43" i="10" s="1"/>
  <c r="C43" i="10" l="1"/>
  <c r="E43" i="10"/>
  <c r="G30" i="1"/>
  <c r="F31" i="1"/>
  <c r="B44" i="10"/>
  <c r="D44" i="10" s="1"/>
  <c r="E44" i="10" l="1"/>
  <c r="C44" i="10"/>
  <c r="F32" i="1"/>
  <c r="G31" i="1"/>
  <c r="B45" i="10"/>
  <c r="D45" i="10" s="1"/>
  <c r="E45" i="10" l="1"/>
  <c r="C45" i="10"/>
  <c r="F33" i="1"/>
  <c r="G32" i="1"/>
  <c r="B46" i="10"/>
  <c r="D46" i="10" s="1"/>
  <c r="E46" i="10" l="1"/>
  <c r="C46" i="10"/>
  <c r="F34" i="1"/>
  <c r="G33" i="1"/>
  <c r="B47" i="10"/>
  <c r="D47" i="10" s="1"/>
  <c r="C47" i="10" l="1"/>
  <c r="E47" i="10"/>
  <c r="F35" i="1"/>
  <c r="G34" i="1"/>
  <c r="B48" i="10"/>
  <c r="D48" i="10" s="1"/>
  <c r="E48" i="10" l="1"/>
  <c r="C48" i="10"/>
  <c r="F36" i="1"/>
  <c r="G35" i="1"/>
  <c r="B49" i="10"/>
  <c r="D49" i="10" s="1"/>
  <c r="E49" i="10" l="1"/>
  <c r="C49" i="10"/>
  <c r="G36" i="1"/>
  <c r="F37" i="1"/>
  <c r="B50" i="10"/>
  <c r="D50" i="10" s="1"/>
  <c r="E50" i="10" l="1"/>
  <c r="C50" i="10"/>
  <c r="F38" i="1"/>
  <c r="G37" i="1"/>
  <c r="B51" i="10"/>
  <c r="D51" i="10" s="1"/>
  <c r="C51" i="10" l="1"/>
  <c r="E51" i="10"/>
  <c r="G38" i="1"/>
  <c r="F39" i="1"/>
  <c r="B52" i="10"/>
  <c r="D52" i="10" s="1"/>
  <c r="E52" i="10" l="1"/>
  <c r="C52" i="10"/>
  <c r="F40" i="1"/>
  <c r="G39" i="1"/>
  <c r="B53" i="10"/>
  <c r="D53" i="10" s="1"/>
  <c r="E53" i="10" l="1"/>
  <c r="C53" i="10"/>
  <c r="G40" i="1"/>
  <c r="F41" i="1"/>
  <c r="B54" i="10"/>
  <c r="D54" i="10" s="1"/>
  <c r="E54" i="10" l="1"/>
  <c r="C54" i="10"/>
  <c r="G41" i="1"/>
  <c r="F42" i="1"/>
  <c r="B55" i="10"/>
  <c r="D55" i="10" s="1"/>
  <c r="C55" i="10" l="1"/>
  <c r="E55" i="10"/>
  <c r="G42" i="1"/>
  <c r="F43" i="1"/>
  <c r="B56" i="10"/>
  <c r="D56" i="10" s="1"/>
  <c r="E56" i="10" l="1"/>
  <c r="C56" i="10"/>
  <c r="F44" i="1"/>
  <c r="G43" i="1"/>
  <c r="B57" i="10"/>
  <c r="D57" i="10" s="1"/>
  <c r="E57" i="10" l="1"/>
  <c r="C57" i="10"/>
  <c r="F45" i="1"/>
  <c r="G44" i="1"/>
  <c r="B58" i="10"/>
  <c r="D58" i="10" s="1"/>
  <c r="E58" i="10" l="1"/>
  <c r="C58" i="10"/>
  <c r="G45" i="1"/>
  <c r="F46" i="1"/>
  <c r="B59" i="10"/>
  <c r="D59" i="10" s="1"/>
  <c r="C59" i="10" l="1"/>
  <c r="E59" i="10"/>
  <c r="G46" i="1"/>
  <c r="F47" i="1"/>
  <c r="B60" i="10"/>
  <c r="D60" i="10" s="1"/>
  <c r="E60" i="10" l="1"/>
  <c r="C60" i="10"/>
  <c r="F48" i="1"/>
  <c r="G47" i="1"/>
  <c r="B61" i="10"/>
  <c r="D61" i="10" s="1"/>
  <c r="E61" i="10" l="1"/>
  <c r="C61" i="10"/>
  <c r="G48" i="1"/>
  <c r="F49" i="1"/>
  <c r="B62" i="10"/>
  <c r="D62" i="10" s="1"/>
  <c r="E62" i="10" l="1"/>
  <c r="C62" i="10"/>
  <c r="G49" i="1"/>
  <c r="F50" i="1"/>
  <c r="B63" i="10"/>
  <c r="D63" i="10" s="1"/>
  <c r="C63" i="10" l="1"/>
  <c r="E63" i="10"/>
  <c r="F51" i="1"/>
  <c r="G50" i="1"/>
  <c r="B64" i="10"/>
  <c r="D64" i="10" s="1"/>
  <c r="E64" i="10" l="1"/>
  <c r="C64" i="10"/>
  <c r="G51" i="1"/>
  <c r="F52" i="1"/>
  <c r="B65" i="10"/>
  <c r="D65" i="10" s="1"/>
  <c r="E65" i="10" l="1"/>
  <c r="C65" i="10"/>
  <c r="F53" i="1"/>
  <c r="G52" i="1"/>
  <c r="B66" i="10"/>
  <c r="D66" i="10" s="1"/>
  <c r="E66" i="10" l="1"/>
  <c r="C66" i="10"/>
  <c r="F54" i="1"/>
  <c r="G53" i="1"/>
  <c r="B67" i="10"/>
  <c r="D67" i="10" s="1"/>
  <c r="C67" i="10" l="1"/>
  <c r="E67" i="10"/>
  <c r="F55" i="1"/>
  <c r="G54" i="1"/>
  <c r="B68" i="10"/>
  <c r="D68" i="10" s="1"/>
  <c r="E68" i="10" l="1"/>
  <c r="C68" i="10"/>
  <c r="G55" i="1"/>
  <c r="F56" i="1"/>
  <c r="B69" i="10"/>
  <c r="D69" i="10" s="1"/>
  <c r="E69" i="10" l="1"/>
  <c r="C69" i="10"/>
  <c r="G56" i="1"/>
  <c r="F57" i="1"/>
  <c r="F58" i="1" l="1"/>
  <c r="G57" i="1"/>
  <c r="G58" i="1" l="1"/>
  <c r="F59" i="1"/>
  <c r="F60" i="1" l="1"/>
  <c r="G59" i="1"/>
  <c r="F61" i="1" l="1"/>
  <c r="G60" i="1"/>
  <c r="F62" i="1" l="1"/>
  <c r="G61" i="1"/>
  <c r="F63" i="1" l="1"/>
  <c r="G62" i="1"/>
  <c r="G63" i="1" l="1"/>
  <c r="F64" i="1"/>
  <c r="F65" i="1" l="1"/>
  <c r="G64" i="1"/>
  <c r="G65" i="1" l="1"/>
  <c r="F66" i="1"/>
  <c r="F67" i="1" l="1"/>
  <c r="G66" i="1"/>
  <c r="G67" i="1" l="1"/>
  <c r="F68" i="1"/>
  <c r="G68" i="1" l="1"/>
  <c r="F69" i="1"/>
  <c r="G69" i="1" l="1"/>
  <c r="F70" i="1"/>
  <c r="G70" i="1" l="1"/>
  <c r="F71" i="1"/>
  <c r="G71" i="1" l="1"/>
  <c r="F72" i="1"/>
  <c r="G72" i="1" l="1"/>
  <c r="F73" i="1"/>
  <c r="G73" i="1" l="1"/>
  <c r="F74" i="1"/>
  <c r="G74" i="1" l="1"/>
  <c r="F75" i="1"/>
  <c r="F76" i="1" l="1"/>
  <c r="G75" i="1"/>
  <c r="F77" i="1" l="1"/>
  <c r="G76" i="1"/>
  <c r="G77" i="1" l="1"/>
  <c r="F78" i="1"/>
  <c r="F79" i="1" l="1"/>
  <c r="G78" i="1"/>
  <c r="F80" i="1" l="1"/>
  <c r="F81" i="1" s="1"/>
  <c r="G79" i="1"/>
  <c r="G81" i="1" l="1"/>
  <c r="F82" i="1"/>
  <c r="G80" i="1"/>
  <c r="G82" i="1" l="1"/>
  <c r="F83" i="1"/>
  <c r="G83" i="1" l="1"/>
  <c r="F84" i="1"/>
  <c r="F85" i="1" l="1"/>
  <c r="G84" i="1"/>
  <c r="F86" i="1" l="1"/>
  <c r="G85" i="1"/>
  <c r="G86" i="1" l="1"/>
  <c r="F87" i="1"/>
  <c r="G87" i="1" l="1"/>
  <c r="F88" i="1"/>
  <c r="F89" i="1" l="1"/>
  <c r="G88" i="1"/>
  <c r="G89" i="1" l="1"/>
  <c r="F90" i="1"/>
  <c r="G90" i="1" l="1"/>
  <c r="F91" i="1"/>
  <c r="G91" i="1" l="1"/>
  <c r="F92" i="1"/>
  <c r="F93" i="1" l="1"/>
  <c r="G92" i="1"/>
  <c r="G93" i="1" l="1"/>
  <c r="F94" i="1"/>
  <c r="F95" i="1" l="1"/>
  <c r="G95" i="1" s="1"/>
  <c r="J11" i="1" s="1"/>
  <c r="G94" i="1"/>
</calcChain>
</file>

<file path=xl/sharedStrings.xml><?xml version="1.0" encoding="utf-8"?>
<sst xmlns="http://schemas.openxmlformats.org/spreadsheetml/2006/main" count="78" uniqueCount="52">
  <si>
    <t>Parameters</t>
  </si>
  <si>
    <t>Calculations</t>
  </si>
  <si>
    <t>Mu (mean)</t>
  </si>
  <si>
    <t>Standard deviation (sigma)</t>
  </si>
  <si>
    <t>Alpha (confidence level)</t>
  </si>
  <si>
    <t>Probability</t>
  </si>
  <si>
    <t>EPE</t>
  </si>
  <si>
    <t>FX Forward</t>
  </si>
  <si>
    <t>Confidence level</t>
  </si>
  <si>
    <t>FX Vol</t>
  </si>
  <si>
    <t>Correlation</t>
  </si>
  <si>
    <t>Duration</t>
  </si>
  <si>
    <t>Def Prob</t>
  </si>
  <si>
    <t>PFE</t>
  </si>
  <si>
    <t>Initial spread</t>
  </si>
  <si>
    <t>Recovery rate</t>
  </si>
  <si>
    <t>Interest rate</t>
  </si>
  <si>
    <t>Spread volatility</t>
  </si>
  <si>
    <t>dSpread</t>
  </si>
  <si>
    <t>Future value</t>
  </si>
  <si>
    <t>Trade 1</t>
  </si>
  <si>
    <t>Trade 2</t>
  </si>
  <si>
    <t>No netting</t>
  </si>
  <si>
    <t>Netting</t>
  </si>
  <si>
    <t>Scenario 1</t>
  </si>
  <si>
    <t>Scenario 2</t>
  </si>
  <si>
    <t>Scenario 3</t>
  </si>
  <si>
    <t>Scenario 4</t>
  </si>
  <si>
    <t>Scenario 5</t>
  </si>
  <si>
    <t>Expected positive exposure (EPE)</t>
  </si>
  <si>
    <t>Expected negative exposure (ENE)</t>
  </si>
  <si>
    <t>Future exposure</t>
  </si>
  <si>
    <t>EFV</t>
  </si>
  <si>
    <t>ENE</t>
  </si>
  <si>
    <t>Scenario 6</t>
  </si>
  <si>
    <t>Scenario 7</t>
  </si>
  <si>
    <t>Scenario 8</t>
  </si>
  <si>
    <t>Scenario 9</t>
  </si>
  <si>
    <t>Scenario 10</t>
  </si>
  <si>
    <t>IR Vol 1</t>
  </si>
  <si>
    <t>IR Vol 2</t>
  </si>
  <si>
    <t>XCCY Swap</t>
  </si>
  <si>
    <t>IRS1</t>
  </si>
  <si>
    <t>IRS2</t>
  </si>
  <si>
    <t>Spread</t>
  </si>
  <si>
    <t>Positive exposure</t>
  </si>
  <si>
    <t>Negative exposure</t>
  </si>
  <si>
    <t>Portfolio value</t>
  </si>
  <si>
    <t>Variation margin</t>
  </si>
  <si>
    <t>Initial margin received</t>
  </si>
  <si>
    <t xml:space="preserve">Initial margin posted </t>
  </si>
  <si>
    <t>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</si>
</sst>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"/>
    <numFmt numFmtId="172" formatCode="0.0"/>
    <numFmt numFmtId="173" formatCode="0.000%"/>
    <numFmt numFmtId="174" formatCode="0.000"/>
    <numFmt numFmtId="175" formatCode="0.000000"/>
    <numFmt numFmtId="176" formatCode="_-* #,##0.000_-;\-* #,##0.000_-;_-* &quot;-&quot;??_-;_-@_-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22" borderId="3" applyNumberFormat="0" applyFont="0" applyBorder="0" applyAlignment="0" applyProtection="0">
      <alignment horizontal="centerContinuous"/>
    </xf>
    <xf numFmtId="0" fontId="8" fillId="23" borderId="4" applyNumberFormat="0" applyBorder="0">
      <alignment horizontal="left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alignment horizontal="centerContinuous"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>
      <alignment horizontal="right"/>
    </xf>
    <xf numFmtId="0" fontId="17" fillId="25" borderId="0" applyNumberFormat="0" applyBorder="0" applyAlignment="0" applyProtection="0"/>
    <xf numFmtId="0" fontId="26" fillId="0" borderId="0"/>
    <xf numFmtId="0" fontId="1" fillId="0" borderId="0"/>
    <xf numFmtId="0" fontId="2" fillId="26" borderId="10" applyNumberFormat="0" applyFont="0" applyAlignment="0" applyProtection="0"/>
    <xf numFmtId="0" fontId="18" fillId="20" borderId="11" applyNumberForma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27" borderId="12">
      <alignment horizontal="center"/>
    </xf>
    <xf numFmtId="0" fontId="1" fillId="0" borderId="0">
      <alignment horizontal="left" wrapText="1"/>
    </xf>
    <xf numFmtId="0" fontId="20" fillId="0" borderId="0">
      <alignment horizontal="center"/>
    </xf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>
      <alignment horizontal="right"/>
    </xf>
    <xf numFmtId="169" fontId="1" fillId="0" borderId="0">
      <alignment horizontal="center"/>
    </xf>
    <xf numFmtId="43" fontId="28" fillId="0" borderId="0" applyFont="0" applyFill="0" applyBorder="0" applyAlignment="0" applyProtection="0"/>
  </cellStyleXfs>
  <cellXfs count="127">
    <xf numFmtId="0" fontId="0" fillId="0" borderId="0" xfId="0"/>
    <xf numFmtId="0" fontId="1" fillId="27" borderId="0" xfId="46" applyFill="1"/>
    <xf numFmtId="9" fontId="0" fillId="0" borderId="0" xfId="0" applyNumberFormat="1"/>
    <xf numFmtId="171" fontId="0" fillId="0" borderId="0" xfId="0" applyNumberFormat="1"/>
    <xf numFmtId="170" fontId="1" fillId="0" borderId="0" xfId="49" applyNumberFormat="1"/>
    <xf numFmtId="0" fontId="0" fillId="0" borderId="0" xfId="0" applyBorder="1"/>
    <xf numFmtId="174" fontId="0" fillId="0" borderId="0" xfId="0" applyNumberFormat="1" applyBorder="1"/>
    <xf numFmtId="173" fontId="0" fillId="0" borderId="0" xfId="49" applyNumberFormat="1" applyFont="1"/>
    <xf numFmtId="0" fontId="27" fillId="0" borderId="0" xfId="0" applyFont="1"/>
    <xf numFmtId="174" fontId="27" fillId="0" borderId="0" xfId="0" applyNumberFormat="1" applyFont="1" applyBorder="1"/>
    <xf numFmtId="173" fontId="0" fillId="0" borderId="0" xfId="0" applyNumberFormat="1"/>
    <xf numFmtId="0" fontId="27" fillId="0" borderId="0" xfId="0" applyFont="1" applyFill="1" applyBorder="1" applyAlignment="1">
      <alignment horizontal="center"/>
    </xf>
    <xf numFmtId="43" fontId="0" fillId="0" borderId="0" xfId="59" applyNumberFormat="1" applyFont="1"/>
    <xf numFmtId="9" fontId="0" fillId="0" borderId="0" xfId="49" applyFont="1"/>
    <xf numFmtId="10" fontId="0" fillId="0" borderId="0" xfId="49" applyNumberFormat="1" applyFont="1"/>
    <xf numFmtId="176" fontId="0" fillId="0" borderId="0" xfId="59" applyNumberFormat="1" applyFont="1"/>
    <xf numFmtId="0" fontId="1" fillId="0" borderId="0" xfId="0" applyFont="1"/>
    <xf numFmtId="0" fontId="1" fillId="0" borderId="14" xfId="0" applyFont="1" applyBorder="1"/>
    <xf numFmtId="2" fontId="1" fillId="0" borderId="0" xfId="0" applyNumberFormat="1" applyFont="1"/>
    <xf numFmtId="171" fontId="1" fillId="0" borderId="0" xfId="0" applyNumberFormat="1" applyFont="1"/>
    <xf numFmtId="2" fontId="1" fillId="0" borderId="0" xfId="49" applyNumberFormat="1" applyFont="1"/>
    <xf numFmtId="0" fontId="1" fillId="0" borderId="15" xfId="0" applyFont="1" applyBorder="1"/>
    <xf numFmtId="0" fontId="1" fillId="0" borderId="16" xfId="0" applyFont="1" applyBorder="1"/>
    <xf numFmtId="2" fontId="30" fillId="0" borderId="28" xfId="0" applyNumberFormat="1" applyFont="1" applyBorder="1"/>
    <xf numFmtId="2" fontId="30" fillId="0" borderId="17" xfId="0" applyNumberFormat="1" applyFont="1" applyBorder="1"/>
    <xf numFmtId="0" fontId="1" fillId="0" borderId="0" xfId="0" applyFont="1" applyBorder="1"/>
    <xf numFmtId="0" fontId="1" fillId="0" borderId="16" xfId="0" applyFont="1" applyFill="1" applyBorder="1"/>
    <xf numFmtId="2" fontId="30" fillId="0" borderId="27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0" fontId="1" fillId="0" borderId="0" xfId="49" applyNumberFormat="1" applyFont="1"/>
    <xf numFmtId="174" fontId="1" fillId="0" borderId="15" xfId="0" applyNumberFormat="1" applyFont="1" applyBorder="1"/>
    <xf numFmtId="1" fontId="31" fillId="0" borderId="0" xfId="0" applyNumberFormat="1" applyFont="1" applyBorder="1"/>
    <xf numFmtId="1" fontId="30" fillId="0" borderId="21" xfId="0" applyNumberFormat="1" applyFont="1" applyBorder="1"/>
    <xf numFmtId="1" fontId="30" fillId="0" borderId="0" xfId="0" applyNumberFormat="1" applyFont="1" applyBorder="1"/>
    <xf numFmtId="1" fontId="30" fillId="0" borderId="28" xfId="0" applyNumberFormat="1" applyFont="1" applyBorder="1"/>
    <xf numFmtId="174" fontId="1" fillId="0" borderId="37" xfId="0" applyNumberFormat="1" applyFont="1" applyBorder="1"/>
    <xf numFmtId="1" fontId="30" fillId="0" borderId="38" xfId="0" applyNumberFormat="1" applyFont="1" applyBorder="1"/>
    <xf numFmtId="1" fontId="30" fillId="0" borderId="39" xfId="0" applyNumberFormat="1" applyFont="1" applyBorder="1"/>
    <xf numFmtId="174" fontId="1" fillId="0" borderId="16" xfId="0" applyNumberFormat="1" applyFont="1" applyBorder="1"/>
    <xf numFmtId="1" fontId="30" fillId="0" borderId="22" xfId="0" applyNumberFormat="1" applyFont="1" applyBorder="1"/>
    <xf numFmtId="1" fontId="30" fillId="0" borderId="19" xfId="0" applyNumberFormat="1" applyFont="1" applyBorder="1"/>
    <xf numFmtId="174" fontId="1" fillId="0" borderId="0" xfId="0" applyNumberFormat="1" applyFont="1" applyBorder="1"/>
    <xf numFmtId="171" fontId="1" fillId="0" borderId="0" xfId="0" applyNumberFormat="1" applyFont="1" applyBorder="1"/>
    <xf numFmtId="174" fontId="1" fillId="0" borderId="14" xfId="0" applyNumberFormat="1" applyFont="1" applyBorder="1"/>
    <xf numFmtId="174" fontId="1" fillId="0" borderId="28" xfId="0" applyNumberFormat="1" applyFont="1" applyBorder="1"/>
    <xf numFmtId="174" fontId="1" fillId="0" borderId="17" xfId="0" applyNumberFormat="1" applyFont="1" applyBorder="1"/>
    <xf numFmtId="0" fontId="1" fillId="0" borderId="29" xfId="0" applyFont="1" applyBorder="1" applyAlignment="1">
      <alignment horizontal="center"/>
    </xf>
    <xf numFmtId="174" fontId="1" fillId="0" borderId="41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32" fillId="0" borderId="27" xfId="0" applyNumberFormat="1" applyFont="1" applyBorder="1"/>
    <xf numFmtId="1" fontId="32" fillId="0" borderId="28" xfId="0" applyNumberFormat="1" applyFont="1" applyBorder="1"/>
    <xf numFmtId="0" fontId="32" fillId="0" borderId="28" xfId="0" applyFont="1" applyBorder="1"/>
    <xf numFmtId="0" fontId="32" fillId="0" borderId="40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4" fontId="1" fillId="0" borderId="21" xfId="0" applyNumberFormat="1" applyFont="1" applyBorder="1"/>
    <xf numFmtId="174" fontId="1" fillId="0" borderId="22" xfId="0" applyNumberFormat="1" applyFont="1" applyBorder="1"/>
    <xf numFmtId="174" fontId="1" fillId="0" borderId="19" xfId="0" applyNumberFormat="1" applyFont="1" applyBorder="1"/>
    <xf numFmtId="173" fontId="1" fillId="0" borderId="0" xfId="49" applyNumberFormat="1" applyFont="1"/>
    <xf numFmtId="2" fontId="1" fillId="0" borderId="14" xfId="0" applyNumberFormat="1" applyFont="1" applyBorder="1"/>
    <xf numFmtId="174" fontId="1" fillId="0" borderId="30" xfId="0" applyNumberFormat="1" applyFont="1" applyBorder="1"/>
    <xf numFmtId="174" fontId="1" fillId="0" borderId="31" xfId="0" applyNumberFormat="1" applyFont="1" applyBorder="1"/>
    <xf numFmtId="10" fontId="1" fillId="0" borderId="30" xfId="49" applyNumberFormat="1" applyFont="1" applyBorder="1"/>
    <xf numFmtId="10" fontId="1" fillId="0" borderId="32" xfId="49" applyNumberFormat="1" applyFont="1" applyBorder="1"/>
    <xf numFmtId="2" fontId="1" fillId="0" borderId="15" xfId="0" applyNumberFormat="1" applyFont="1" applyBorder="1"/>
    <xf numFmtId="173" fontId="1" fillId="0" borderId="21" xfId="49" applyNumberFormat="1" applyFont="1" applyBorder="1"/>
    <xf numFmtId="10" fontId="1" fillId="0" borderId="21" xfId="49" applyNumberFormat="1" applyFont="1" applyBorder="1"/>
    <xf numFmtId="10" fontId="1" fillId="0" borderId="18" xfId="49" applyNumberFormat="1" applyFont="1" applyBorder="1"/>
    <xf numFmtId="2" fontId="1" fillId="0" borderId="16" xfId="0" applyNumberFormat="1" applyFont="1" applyBorder="1"/>
    <xf numFmtId="173" fontId="1" fillId="0" borderId="22" xfId="49" applyNumberFormat="1" applyFont="1" applyBorder="1"/>
    <xf numFmtId="10" fontId="1" fillId="0" borderId="22" xfId="49" applyNumberFormat="1" applyFont="1" applyBorder="1"/>
    <xf numFmtId="10" fontId="1" fillId="0" borderId="20" xfId="49" applyNumberFormat="1" applyFont="1" applyBorder="1"/>
    <xf numFmtId="173" fontId="1" fillId="0" borderId="0" xfId="49" applyNumberFormat="1" applyFont="1" applyBorder="1"/>
    <xf numFmtId="175" fontId="1" fillId="0" borderId="0" xfId="0" applyNumberFormat="1" applyFont="1" applyBorder="1"/>
    <xf numFmtId="1" fontId="30" fillId="0" borderId="46" xfId="0" applyNumberFormat="1" applyFont="1" applyBorder="1"/>
    <xf numFmtId="1" fontId="30" fillId="0" borderId="47" xfId="0" applyNumberFormat="1" applyFont="1" applyBorder="1"/>
    <xf numFmtId="1" fontId="30" fillId="0" borderId="27" xfId="0" applyNumberFormat="1" applyFont="1" applyBorder="1"/>
    <xf numFmtId="0" fontId="1" fillId="0" borderId="48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4" fontId="1" fillId="0" borderId="15" xfId="0" applyNumberFormat="1" applyFont="1" applyBorder="1" applyAlignment="1">
      <alignment horizontal="left"/>
    </xf>
    <xf numFmtId="174" fontId="1" fillId="0" borderId="16" xfId="0" applyNumberFormat="1" applyFont="1" applyBorder="1" applyAlignment="1">
      <alignment horizontal="left"/>
    </xf>
    <xf numFmtId="1" fontId="32" fillId="0" borderId="17" xfId="0" applyNumberFormat="1" applyFont="1" applyBorder="1"/>
    <xf numFmtId="1" fontId="30" fillId="0" borderId="42" xfId="0" applyNumberFormat="1" applyFont="1" applyBorder="1"/>
    <xf numFmtId="1" fontId="30" fillId="0" borderId="17" xfId="0" applyNumberFormat="1" applyFont="1" applyBorder="1"/>
    <xf numFmtId="172" fontId="32" fillId="0" borderId="27" xfId="0" applyNumberFormat="1" applyFont="1" applyBorder="1" applyProtection="1">
      <protection locked="0"/>
    </xf>
    <xf numFmtId="172" fontId="32" fillId="0" borderId="28" xfId="0" applyNumberFormat="1" applyFont="1" applyBorder="1" applyProtection="1">
      <protection locked="0"/>
    </xf>
    <xf numFmtId="9" fontId="32" fillId="0" borderId="17" xfId="0" applyNumberFormat="1" applyFont="1" applyBorder="1" applyProtection="1">
      <protection locked="0"/>
    </xf>
    <xf numFmtId="9" fontId="30" fillId="0" borderId="27" xfId="0" applyNumberFormat="1" applyFont="1" applyBorder="1"/>
    <xf numFmtId="9" fontId="30" fillId="0" borderId="28" xfId="0" applyNumberFormat="1" applyFont="1" applyBorder="1"/>
    <xf numFmtId="9" fontId="30" fillId="0" borderId="17" xfId="0" applyNumberFormat="1" applyFont="1" applyBorder="1"/>
    <xf numFmtId="9" fontId="30" fillId="0" borderId="27" xfId="49" applyFont="1" applyBorder="1"/>
    <xf numFmtId="170" fontId="30" fillId="0" borderId="17" xfId="0" applyNumberFormat="1" applyFont="1" applyBorder="1"/>
    <xf numFmtId="1" fontId="32" fillId="0" borderId="46" xfId="0" applyNumberFormat="1" applyFont="1" applyBorder="1"/>
    <xf numFmtId="1" fontId="32" fillId="0" borderId="47" xfId="0" applyNumberFormat="1" applyFont="1" applyBorder="1"/>
    <xf numFmtId="1" fontId="32" fillId="0" borderId="49" xfId="0" applyNumberFormat="1" applyFont="1" applyBorder="1"/>
    <xf numFmtId="1" fontId="32" fillId="0" borderId="21" xfId="0" applyNumberFormat="1" applyFont="1" applyBorder="1"/>
    <xf numFmtId="1" fontId="32" fillId="0" borderId="0" xfId="0" applyNumberFormat="1" applyFont="1" applyBorder="1"/>
    <xf numFmtId="1" fontId="32" fillId="0" borderId="18" xfId="0" applyNumberFormat="1" applyFont="1" applyBorder="1"/>
    <xf numFmtId="1" fontId="32" fillId="0" borderId="38" xfId="0" applyNumberFormat="1" applyFont="1" applyBorder="1"/>
    <xf numFmtId="1" fontId="32" fillId="0" borderId="39" xfId="0" applyNumberFormat="1" applyFont="1" applyBorder="1"/>
    <xf numFmtId="1" fontId="32" fillId="0" borderId="50" xfId="0" applyNumberFormat="1" applyFont="1" applyBorder="1"/>
    <xf numFmtId="1" fontId="32" fillId="0" borderId="22" xfId="0" applyNumberFormat="1" applyFont="1" applyBorder="1"/>
    <xf numFmtId="1" fontId="32" fillId="0" borderId="19" xfId="0" applyNumberFormat="1" applyFont="1" applyBorder="1"/>
    <xf numFmtId="1" fontId="32" fillId="0" borderId="20" xfId="0" applyNumberFormat="1" applyFont="1" applyBorder="1"/>
    <xf numFmtId="0" fontId="30" fillId="0" borderId="28" xfId="0" applyFont="1" applyBorder="1"/>
    <xf numFmtId="0" fontId="30" fillId="0" borderId="17" xfId="0" applyFont="1" applyBorder="1"/>
    <xf numFmtId="174" fontId="1" fillId="0" borderId="0" xfId="0" applyNumberFormat="1" applyFont="1"/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30" fillId="0" borderId="28" xfId="0" applyNumberFormat="1" applyFont="1" applyBorder="1"/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9" builtinId="3"/>
    <cellStyle name="Data" xfId="28" xr:uid="{00000000-0005-0000-0000-00001B000000}"/>
    <cellStyle name="DataInput" xfId="29" xr:uid="{00000000-0005-0000-0000-00001C000000}"/>
    <cellStyle name="Explanatory Text" xfId="30" builtinId="53" customBuiltin="1"/>
    <cellStyle name="Good" xfId="31" builtinId="26" customBuiltin="1"/>
    <cellStyle name="Header" xfId="32" xr:uid="{00000000-0005-0000-0000-00001F000000}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Milliers [0]_rating factor" xfId="39" xr:uid="{00000000-0005-0000-0000-000026000000}"/>
    <cellStyle name="Milliers_rating factor" xfId="40" xr:uid="{00000000-0005-0000-0000-000027000000}"/>
    <cellStyle name="Monétaire [0]_rating factor" xfId="41" xr:uid="{00000000-0005-0000-0000-000028000000}"/>
    <cellStyle name="Monétaire_rating factor" xfId="42" xr:uid="{00000000-0005-0000-0000-000029000000}"/>
    <cellStyle name="Month" xfId="43" xr:uid="{00000000-0005-0000-0000-00002A000000}"/>
    <cellStyle name="Neutral" xfId="44" builtinId="28" customBuiltin="1"/>
    <cellStyle name="Normal" xfId="0" builtinId="0"/>
    <cellStyle name="Normal 2" xfId="45" xr:uid="{00000000-0005-0000-0000-00002D000000}"/>
    <cellStyle name="Normal_LFS_CollateralandCntrptyRisk" xfId="46" xr:uid="{00000000-0005-0000-0000-00002E000000}"/>
    <cellStyle name="Note" xfId="47" builtinId="10" customBuiltin="1"/>
    <cellStyle name="Output" xfId="48" builtinId="21" customBuiltin="1"/>
    <cellStyle name="Percent" xfId="49" builtinId="5"/>
    <cellStyle name="Percent 2" xfId="50" xr:uid="{00000000-0005-0000-0000-000032000000}"/>
    <cellStyle name="PricingProducts" xfId="51" xr:uid="{00000000-0005-0000-0000-000033000000}"/>
    <cellStyle name="Style 1" xfId="52" xr:uid="{00000000-0005-0000-0000-000034000000}"/>
    <cellStyle name="TIMES" xfId="53" xr:uid="{00000000-0005-0000-0000-000035000000}"/>
    <cellStyle name="Title" xfId="54" builtinId="15" customBuiltin="1"/>
    <cellStyle name="Total" xfId="55" builtinId="25" customBuiltin="1"/>
    <cellStyle name="Warning Text" xfId="56" builtinId="11" customBuiltin="1"/>
    <cellStyle name="WASP_PLStyle" xfId="57" xr:uid="{00000000-0005-0000-0000-000039000000}"/>
    <cellStyle name="Year" xfId="58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'11.2'!$G$9</c:f>
              <c:strCache>
                <c:ptCount val="1"/>
                <c:pt idx="0">
                  <c:v>Probability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'11.2'!$F$10:$F$95</c:f>
              <c:numCache>
                <c:formatCode>0.00</c:formatCode>
                <c:ptCount val="86"/>
                <c:pt idx="0">
                  <c:v>-35</c:v>
                </c:pt>
                <c:pt idx="1">
                  <c:v>-34</c:v>
                </c:pt>
                <c:pt idx="2">
                  <c:v>-33</c:v>
                </c:pt>
                <c:pt idx="3">
                  <c:v>-32</c:v>
                </c:pt>
                <c:pt idx="4">
                  <c:v>-31</c:v>
                </c:pt>
                <c:pt idx="5">
                  <c:v>-30</c:v>
                </c:pt>
                <c:pt idx="6">
                  <c:v>-29</c:v>
                </c:pt>
                <c:pt idx="7">
                  <c:v>-28</c:v>
                </c:pt>
                <c:pt idx="8">
                  <c:v>-27</c:v>
                </c:pt>
                <c:pt idx="9">
                  <c:v>-26</c:v>
                </c:pt>
                <c:pt idx="10">
                  <c:v>-25</c:v>
                </c:pt>
                <c:pt idx="11">
                  <c:v>-24</c:v>
                </c:pt>
                <c:pt idx="12">
                  <c:v>-23</c:v>
                </c:pt>
                <c:pt idx="13">
                  <c:v>-22</c:v>
                </c:pt>
                <c:pt idx="14">
                  <c:v>-21</c:v>
                </c:pt>
                <c:pt idx="15">
                  <c:v>-20</c:v>
                </c:pt>
                <c:pt idx="16">
                  <c:v>-19</c:v>
                </c:pt>
                <c:pt idx="17">
                  <c:v>-18</c:v>
                </c:pt>
                <c:pt idx="18">
                  <c:v>-17</c:v>
                </c:pt>
                <c:pt idx="19">
                  <c:v>-16</c:v>
                </c:pt>
                <c:pt idx="20">
                  <c:v>-15</c:v>
                </c:pt>
                <c:pt idx="21">
                  <c:v>-14</c:v>
                </c:pt>
                <c:pt idx="22">
                  <c:v>-13</c:v>
                </c:pt>
                <c:pt idx="23">
                  <c:v>-12</c:v>
                </c:pt>
                <c:pt idx="24">
                  <c:v>-11</c:v>
                </c:pt>
                <c:pt idx="25">
                  <c:v>-10</c:v>
                </c:pt>
                <c:pt idx="26">
                  <c:v>-9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23</c:v>
                </c:pt>
                <c:pt idx="59">
                  <c:v>24</c:v>
                </c:pt>
                <c:pt idx="60">
                  <c:v>25</c:v>
                </c:pt>
                <c:pt idx="61">
                  <c:v>26</c:v>
                </c:pt>
                <c:pt idx="62">
                  <c:v>27</c:v>
                </c:pt>
                <c:pt idx="63">
                  <c:v>28</c:v>
                </c:pt>
                <c:pt idx="64">
                  <c:v>29</c:v>
                </c:pt>
                <c:pt idx="65">
                  <c:v>30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35</c:v>
                </c:pt>
                <c:pt idx="71">
                  <c:v>36</c:v>
                </c:pt>
                <c:pt idx="72">
                  <c:v>37</c:v>
                </c:pt>
                <c:pt idx="73">
                  <c:v>38</c:v>
                </c:pt>
                <c:pt idx="74">
                  <c:v>39</c:v>
                </c:pt>
                <c:pt idx="75">
                  <c:v>40</c:v>
                </c:pt>
                <c:pt idx="76">
                  <c:v>41</c:v>
                </c:pt>
                <c:pt idx="77">
                  <c:v>42</c:v>
                </c:pt>
                <c:pt idx="78">
                  <c:v>43</c:v>
                </c:pt>
                <c:pt idx="79">
                  <c:v>44</c:v>
                </c:pt>
                <c:pt idx="80">
                  <c:v>45</c:v>
                </c:pt>
                <c:pt idx="81">
                  <c:v>46</c:v>
                </c:pt>
                <c:pt idx="82">
                  <c:v>47</c:v>
                </c:pt>
                <c:pt idx="83">
                  <c:v>48</c:v>
                </c:pt>
                <c:pt idx="84">
                  <c:v>49</c:v>
                </c:pt>
                <c:pt idx="85">
                  <c:v>50</c:v>
                </c:pt>
              </c:numCache>
            </c:numRef>
          </c:xVal>
          <c:yVal>
            <c:numRef>
              <c:f>'11.2'!$G$10:$G$95</c:f>
              <c:numCache>
                <c:formatCode>0.0000</c:formatCode>
                <c:ptCount val="86"/>
                <c:pt idx="0">
                  <c:v>1.3383022576488536E-5</c:v>
                </c:pt>
                <c:pt idx="1">
                  <c:v>1.9865547139277272E-5</c:v>
                </c:pt>
                <c:pt idx="2">
                  <c:v>2.9194692579146026E-5</c:v>
                </c:pt>
                <c:pt idx="3">
                  <c:v>4.2478027055075142E-5</c:v>
                </c:pt>
                <c:pt idx="4">
                  <c:v>6.1190193011377187E-5</c:v>
                </c:pt>
                <c:pt idx="5">
                  <c:v>8.726826950457601E-5</c:v>
                </c:pt>
                <c:pt idx="6">
                  <c:v>1.2322191684730198E-4</c:v>
                </c:pt>
                <c:pt idx="7">
                  <c:v>1.722568939053681E-4</c:v>
                </c:pt>
                <c:pt idx="8">
                  <c:v>2.3840882014648405E-4</c:v>
                </c:pt>
                <c:pt idx="9">
                  <c:v>3.2668190561999186E-4</c:v>
                </c:pt>
                <c:pt idx="10">
                  <c:v>4.4318484119380076E-4</c:v>
                </c:pt>
                <c:pt idx="11">
                  <c:v>5.9525324197758534E-4</c:v>
                </c:pt>
                <c:pt idx="12">
                  <c:v>7.9154515829799694E-4</c:v>
                </c:pt>
                <c:pt idx="13">
                  <c:v>1.0420934814422591E-3</c:v>
                </c:pt>
                <c:pt idx="14">
                  <c:v>1.3582969233685612E-3</c:v>
                </c:pt>
                <c:pt idx="15">
                  <c:v>1.752830049356854E-3</c:v>
                </c:pt>
                <c:pt idx="16">
                  <c:v>2.2394530294842902E-3</c:v>
                </c:pt>
                <c:pt idx="17">
                  <c:v>2.8327037741601186E-3</c:v>
                </c:pt>
                <c:pt idx="18">
                  <c:v>3.5474592846231421E-3</c:v>
                </c:pt>
                <c:pt idx="19">
                  <c:v>4.3983595980427196E-3</c:v>
                </c:pt>
                <c:pt idx="20">
                  <c:v>5.3990966513188061E-3</c:v>
                </c:pt>
                <c:pt idx="21">
                  <c:v>6.5615814774676604E-3</c:v>
                </c:pt>
                <c:pt idx="22">
                  <c:v>7.8950158300894139E-3</c:v>
                </c:pt>
                <c:pt idx="23">
                  <c:v>9.4049077376886937E-3</c:v>
                </c:pt>
                <c:pt idx="24">
                  <c:v>1.1092083467945555E-2</c:v>
                </c:pt>
                <c:pt idx="25">
                  <c:v>1.2951759566589173E-2</c:v>
                </c:pt>
                <c:pt idx="26">
                  <c:v>1.4972746563574486E-2</c:v>
                </c:pt>
                <c:pt idx="27">
                  <c:v>1.7136859204780735E-2</c:v>
                </c:pt>
                <c:pt idx="28">
                  <c:v>1.9418605498321296E-2</c:v>
                </c:pt>
                <c:pt idx="29">
                  <c:v>2.1785217703255054E-2</c:v>
                </c:pt>
                <c:pt idx="30">
                  <c:v>2.4197072451914336E-2</c:v>
                </c:pt>
                <c:pt idx="31">
                  <c:v>2.6608524989875482E-2</c:v>
                </c:pt>
                <c:pt idx="32">
                  <c:v>2.8969155276148274E-2</c:v>
                </c:pt>
                <c:pt idx="33">
                  <c:v>3.1225393336676129E-2</c:v>
                </c:pt>
                <c:pt idx="34">
                  <c:v>3.3322460289179963E-2</c:v>
                </c:pt>
                <c:pt idx="35">
                  <c:v>3.5206532676429952E-2</c:v>
                </c:pt>
                <c:pt idx="36">
                  <c:v>3.6827014030332332E-2</c:v>
                </c:pt>
                <c:pt idx="37">
                  <c:v>3.8138781546052408E-2</c:v>
                </c:pt>
                <c:pt idx="38">
                  <c:v>3.9104269397545591E-2</c:v>
                </c:pt>
                <c:pt idx="39">
                  <c:v>3.9695254747701178E-2</c:v>
                </c:pt>
                <c:pt idx="40">
                  <c:v>3.9894228040143274E-2</c:v>
                </c:pt>
                <c:pt idx="41">
                  <c:v>3.9695254747701178E-2</c:v>
                </c:pt>
                <c:pt idx="42">
                  <c:v>3.9104269397545591E-2</c:v>
                </c:pt>
                <c:pt idx="43">
                  <c:v>3.8138781546052408E-2</c:v>
                </c:pt>
                <c:pt idx="44">
                  <c:v>3.6827014030332332E-2</c:v>
                </c:pt>
                <c:pt idx="45">
                  <c:v>3.5206532676429952E-2</c:v>
                </c:pt>
                <c:pt idx="46">
                  <c:v>3.3322460289179963E-2</c:v>
                </c:pt>
                <c:pt idx="47">
                  <c:v>3.1225393336676129E-2</c:v>
                </c:pt>
                <c:pt idx="48">
                  <c:v>2.8969155276148274E-2</c:v>
                </c:pt>
                <c:pt idx="49">
                  <c:v>2.6608524989875482E-2</c:v>
                </c:pt>
                <c:pt idx="50">
                  <c:v>2.4197072451914336E-2</c:v>
                </c:pt>
                <c:pt idx="51">
                  <c:v>2.1785217703255054E-2</c:v>
                </c:pt>
                <c:pt idx="52">
                  <c:v>1.9418605498321296E-2</c:v>
                </c:pt>
                <c:pt idx="53">
                  <c:v>1.7136859204780735E-2</c:v>
                </c:pt>
                <c:pt idx="54">
                  <c:v>1.4972746563574486E-2</c:v>
                </c:pt>
                <c:pt idx="55">
                  <c:v>1.2951759566589173E-2</c:v>
                </c:pt>
                <c:pt idx="56">
                  <c:v>1.1092083467945555E-2</c:v>
                </c:pt>
                <c:pt idx="57">
                  <c:v>9.4049077376886937E-3</c:v>
                </c:pt>
                <c:pt idx="58">
                  <c:v>7.8950158300894139E-3</c:v>
                </c:pt>
                <c:pt idx="59">
                  <c:v>6.5615814774676604E-3</c:v>
                </c:pt>
                <c:pt idx="60">
                  <c:v>5.3990966513188061E-3</c:v>
                </c:pt>
                <c:pt idx="61">
                  <c:v>4.3983595980427196E-3</c:v>
                </c:pt>
                <c:pt idx="62">
                  <c:v>3.5474592846231421E-3</c:v>
                </c:pt>
                <c:pt idx="63">
                  <c:v>2.8327037741601186E-3</c:v>
                </c:pt>
                <c:pt idx="64">
                  <c:v>2.2394530294842902E-3</c:v>
                </c:pt>
                <c:pt idx="65">
                  <c:v>1.752830049356854E-3</c:v>
                </c:pt>
                <c:pt idx="66">
                  <c:v>1.3582969233685612E-3</c:v>
                </c:pt>
                <c:pt idx="67">
                  <c:v>1.0420934814422591E-3</c:v>
                </c:pt>
                <c:pt idx="68">
                  <c:v>7.9154515829799694E-4</c:v>
                </c:pt>
                <c:pt idx="69">
                  <c:v>5.9525324197758534E-4</c:v>
                </c:pt>
                <c:pt idx="70">
                  <c:v>4.4318484119380076E-4</c:v>
                </c:pt>
                <c:pt idx="71">
                  <c:v>3.2668190561999186E-4</c:v>
                </c:pt>
                <c:pt idx="72">
                  <c:v>2.3840882014648405E-4</c:v>
                </c:pt>
                <c:pt idx="73">
                  <c:v>1.722568939053681E-4</c:v>
                </c:pt>
                <c:pt idx="74">
                  <c:v>1.2322191684730198E-4</c:v>
                </c:pt>
                <c:pt idx="75">
                  <c:v>8.726826950457601E-5</c:v>
                </c:pt>
                <c:pt idx="76">
                  <c:v>6.1190193011377187E-5</c:v>
                </c:pt>
                <c:pt idx="77">
                  <c:v>4.2478027055075142E-5</c:v>
                </c:pt>
                <c:pt idx="78">
                  <c:v>2.9194692579146026E-5</c:v>
                </c:pt>
                <c:pt idx="79">
                  <c:v>1.9865547139277272E-5</c:v>
                </c:pt>
                <c:pt idx="80">
                  <c:v>1.3383022576488536E-5</c:v>
                </c:pt>
                <c:pt idx="81">
                  <c:v>8.9261657177132918E-6</c:v>
                </c:pt>
                <c:pt idx="82">
                  <c:v>5.8943067756539858E-6</c:v>
                </c:pt>
                <c:pt idx="83">
                  <c:v>3.8535196742087128E-6</c:v>
                </c:pt>
                <c:pt idx="84">
                  <c:v>2.4942471290053532E-6</c:v>
                </c:pt>
                <c:pt idx="85">
                  <c:v>1.5983741106905478E-6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05-4D70-8C55-05FA7F924B68}"/>
            </c:ext>
          </c:extLst>
        </c:ser>
        <c:ser>
          <c:idx val="3"/>
          <c:order val="1"/>
          <c:tx>
            <c:v>Mean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'11.2'!$K$10:$K$11</c:f>
              <c:numCache>
                <c:formatCode>0.00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105-4D70-8C55-05FA7F924B68}"/>
            </c:ext>
          </c:extLst>
        </c:ser>
        <c:ser>
          <c:idx val="1"/>
          <c:order val="2"/>
          <c:tx>
            <c:v>EPE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'11.2'!$H$10:$H$11</c:f>
              <c:numCache>
                <c:formatCode>0.00</c:formatCode>
                <c:ptCount val="2"/>
                <c:pt idx="0">
                  <c:v>6.9779655740130604</c:v>
                </c:pt>
                <c:pt idx="1">
                  <c:v>6.9779655740130604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05-4D70-8C55-05FA7F924B68}"/>
            </c:ext>
          </c:extLst>
        </c:ser>
        <c:ser>
          <c:idx val="2"/>
          <c:order val="3"/>
          <c:tx>
            <c:v>PFE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'11.2'!$L$10:$L$11</c:f>
              <c:numCache>
                <c:formatCode>General</c:formatCode>
                <c:ptCount val="2"/>
                <c:pt idx="0">
                  <c:v>28.263478740408409</c:v>
                </c:pt>
                <c:pt idx="1">
                  <c:v>28.263478740408409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05-4D70-8C55-05FA7F92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727824"/>
        <c:axId val="1125728152"/>
      </c:scatterChart>
      <c:valAx>
        <c:axId val="11257278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728152"/>
        <c:crosses val="autoZero"/>
        <c:crossBetween val="midCat"/>
      </c:valAx>
      <c:valAx>
        <c:axId val="1125728152"/>
        <c:scaling>
          <c:orientation val="minMax"/>
        </c:scaling>
        <c:delete val="1"/>
        <c:axPos val="l"/>
        <c:numFmt formatCode="0.0000" sourceLinked="1"/>
        <c:majorTickMark val="none"/>
        <c:minorTickMark val="none"/>
        <c:tickLblPos val="nextTo"/>
        <c:crossAx val="1125727824"/>
        <c:crossesAt val="0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'11.2'!$G$9</c:f>
              <c:strCache>
                <c:ptCount val="1"/>
                <c:pt idx="0">
                  <c:v>Probability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'11.2'!$F$10:$F$95</c:f>
              <c:numCache>
                <c:formatCode>0.00</c:formatCode>
                <c:ptCount val="86"/>
                <c:pt idx="0">
                  <c:v>-35</c:v>
                </c:pt>
                <c:pt idx="1">
                  <c:v>-34</c:v>
                </c:pt>
                <c:pt idx="2">
                  <c:v>-33</c:v>
                </c:pt>
                <c:pt idx="3">
                  <c:v>-32</c:v>
                </c:pt>
                <c:pt idx="4">
                  <c:v>-31</c:v>
                </c:pt>
                <c:pt idx="5">
                  <c:v>-30</c:v>
                </c:pt>
                <c:pt idx="6">
                  <c:v>-29</c:v>
                </c:pt>
                <c:pt idx="7">
                  <c:v>-28</c:v>
                </c:pt>
                <c:pt idx="8">
                  <c:v>-27</c:v>
                </c:pt>
                <c:pt idx="9">
                  <c:v>-26</c:v>
                </c:pt>
                <c:pt idx="10">
                  <c:v>-25</c:v>
                </c:pt>
                <c:pt idx="11">
                  <c:v>-24</c:v>
                </c:pt>
                <c:pt idx="12">
                  <c:v>-23</c:v>
                </c:pt>
                <c:pt idx="13">
                  <c:v>-22</c:v>
                </c:pt>
                <c:pt idx="14">
                  <c:v>-21</c:v>
                </c:pt>
                <c:pt idx="15">
                  <c:v>-20</c:v>
                </c:pt>
                <c:pt idx="16">
                  <c:v>-19</c:v>
                </c:pt>
                <c:pt idx="17">
                  <c:v>-18</c:v>
                </c:pt>
                <c:pt idx="18">
                  <c:v>-17</c:v>
                </c:pt>
                <c:pt idx="19">
                  <c:v>-16</c:v>
                </c:pt>
                <c:pt idx="20">
                  <c:v>-15</c:v>
                </c:pt>
                <c:pt idx="21">
                  <c:v>-14</c:v>
                </c:pt>
                <c:pt idx="22">
                  <c:v>-13</c:v>
                </c:pt>
                <c:pt idx="23">
                  <c:v>-12</c:v>
                </c:pt>
                <c:pt idx="24">
                  <c:v>-11</c:v>
                </c:pt>
                <c:pt idx="25">
                  <c:v>-10</c:v>
                </c:pt>
                <c:pt idx="26">
                  <c:v>-9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23</c:v>
                </c:pt>
                <c:pt idx="59">
                  <c:v>24</c:v>
                </c:pt>
                <c:pt idx="60">
                  <c:v>25</c:v>
                </c:pt>
                <c:pt idx="61">
                  <c:v>26</c:v>
                </c:pt>
                <c:pt idx="62">
                  <c:v>27</c:v>
                </c:pt>
                <c:pt idx="63">
                  <c:v>28</c:v>
                </c:pt>
                <c:pt idx="64">
                  <c:v>29</c:v>
                </c:pt>
                <c:pt idx="65">
                  <c:v>30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35</c:v>
                </c:pt>
                <c:pt idx="71">
                  <c:v>36</c:v>
                </c:pt>
                <c:pt idx="72">
                  <c:v>37</c:v>
                </c:pt>
                <c:pt idx="73">
                  <c:v>38</c:v>
                </c:pt>
                <c:pt idx="74">
                  <c:v>39</c:v>
                </c:pt>
                <c:pt idx="75">
                  <c:v>40</c:v>
                </c:pt>
                <c:pt idx="76">
                  <c:v>41</c:v>
                </c:pt>
                <c:pt idx="77">
                  <c:v>42</c:v>
                </c:pt>
                <c:pt idx="78">
                  <c:v>43</c:v>
                </c:pt>
                <c:pt idx="79">
                  <c:v>44</c:v>
                </c:pt>
                <c:pt idx="80">
                  <c:v>45</c:v>
                </c:pt>
                <c:pt idx="81">
                  <c:v>46</c:v>
                </c:pt>
                <c:pt idx="82">
                  <c:v>47</c:v>
                </c:pt>
                <c:pt idx="83">
                  <c:v>48</c:v>
                </c:pt>
                <c:pt idx="84">
                  <c:v>49</c:v>
                </c:pt>
                <c:pt idx="85">
                  <c:v>50</c:v>
                </c:pt>
              </c:numCache>
            </c:numRef>
          </c:xVal>
          <c:yVal>
            <c:numRef>
              <c:f>'11.2'!$G$10:$G$95</c:f>
              <c:numCache>
                <c:formatCode>0.0000</c:formatCode>
                <c:ptCount val="86"/>
                <c:pt idx="0">
                  <c:v>1.3383022576488536E-5</c:v>
                </c:pt>
                <c:pt idx="1">
                  <c:v>1.9865547139277272E-5</c:v>
                </c:pt>
                <c:pt idx="2">
                  <c:v>2.9194692579146026E-5</c:v>
                </c:pt>
                <c:pt idx="3">
                  <c:v>4.2478027055075142E-5</c:v>
                </c:pt>
                <c:pt idx="4">
                  <c:v>6.1190193011377187E-5</c:v>
                </c:pt>
                <c:pt idx="5">
                  <c:v>8.726826950457601E-5</c:v>
                </c:pt>
                <c:pt idx="6">
                  <c:v>1.2322191684730198E-4</c:v>
                </c:pt>
                <c:pt idx="7">
                  <c:v>1.722568939053681E-4</c:v>
                </c:pt>
                <c:pt idx="8">
                  <c:v>2.3840882014648405E-4</c:v>
                </c:pt>
                <c:pt idx="9">
                  <c:v>3.2668190561999186E-4</c:v>
                </c:pt>
                <c:pt idx="10">
                  <c:v>4.4318484119380076E-4</c:v>
                </c:pt>
                <c:pt idx="11">
                  <c:v>5.9525324197758534E-4</c:v>
                </c:pt>
                <c:pt idx="12">
                  <c:v>7.9154515829799694E-4</c:v>
                </c:pt>
                <c:pt idx="13">
                  <c:v>1.0420934814422591E-3</c:v>
                </c:pt>
                <c:pt idx="14">
                  <c:v>1.3582969233685612E-3</c:v>
                </c:pt>
                <c:pt idx="15">
                  <c:v>1.752830049356854E-3</c:v>
                </c:pt>
                <c:pt idx="16">
                  <c:v>2.2394530294842902E-3</c:v>
                </c:pt>
                <c:pt idx="17">
                  <c:v>2.8327037741601186E-3</c:v>
                </c:pt>
                <c:pt idx="18">
                  <c:v>3.5474592846231421E-3</c:v>
                </c:pt>
                <c:pt idx="19">
                  <c:v>4.3983595980427196E-3</c:v>
                </c:pt>
                <c:pt idx="20">
                  <c:v>5.3990966513188061E-3</c:v>
                </c:pt>
                <c:pt idx="21">
                  <c:v>6.5615814774676604E-3</c:v>
                </c:pt>
                <c:pt idx="22">
                  <c:v>7.8950158300894139E-3</c:v>
                </c:pt>
                <c:pt idx="23">
                  <c:v>9.4049077376886937E-3</c:v>
                </c:pt>
                <c:pt idx="24">
                  <c:v>1.1092083467945555E-2</c:v>
                </c:pt>
                <c:pt idx="25">
                  <c:v>1.2951759566589173E-2</c:v>
                </c:pt>
                <c:pt idx="26">
                  <c:v>1.4972746563574486E-2</c:v>
                </c:pt>
                <c:pt idx="27">
                  <c:v>1.7136859204780735E-2</c:v>
                </c:pt>
                <c:pt idx="28">
                  <c:v>1.9418605498321296E-2</c:v>
                </c:pt>
                <c:pt idx="29">
                  <c:v>2.1785217703255054E-2</c:v>
                </c:pt>
                <c:pt idx="30">
                  <c:v>2.4197072451914336E-2</c:v>
                </c:pt>
                <c:pt idx="31">
                  <c:v>2.6608524989875482E-2</c:v>
                </c:pt>
                <c:pt idx="32">
                  <c:v>2.8969155276148274E-2</c:v>
                </c:pt>
                <c:pt idx="33">
                  <c:v>3.1225393336676129E-2</c:v>
                </c:pt>
                <c:pt idx="34">
                  <c:v>3.3322460289179963E-2</c:v>
                </c:pt>
                <c:pt idx="35">
                  <c:v>3.5206532676429952E-2</c:v>
                </c:pt>
                <c:pt idx="36">
                  <c:v>3.6827014030332332E-2</c:v>
                </c:pt>
                <c:pt idx="37">
                  <c:v>3.8138781546052408E-2</c:v>
                </c:pt>
                <c:pt idx="38">
                  <c:v>3.9104269397545591E-2</c:v>
                </c:pt>
                <c:pt idx="39">
                  <c:v>3.9695254747701178E-2</c:v>
                </c:pt>
                <c:pt idx="40">
                  <c:v>3.9894228040143274E-2</c:v>
                </c:pt>
                <c:pt idx="41">
                  <c:v>3.9695254747701178E-2</c:v>
                </c:pt>
                <c:pt idx="42">
                  <c:v>3.9104269397545591E-2</c:v>
                </c:pt>
                <c:pt idx="43">
                  <c:v>3.8138781546052408E-2</c:v>
                </c:pt>
                <c:pt idx="44">
                  <c:v>3.6827014030332332E-2</c:v>
                </c:pt>
                <c:pt idx="45">
                  <c:v>3.5206532676429952E-2</c:v>
                </c:pt>
                <c:pt idx="46">
                  <c:v>3.3322460289179963E-2</c:v>
                </c:pt>
                <c:pt idx="47">
                  <c:v>3.1225393336676129E-2</c:v>
                </c:pt>
                <c:pt idx="48">
                  <c:v>2.8969155276148274E-2</c:v>
                </c:pt>
                <c:pt idx="49">
                  <c:v>2.6608524989875482E-2</c:v>
                </c:pt>
                <c:pt idx="50">
                  <c:v>2.4197072451914336E-2</c:v>
                </c:pt>
                <c:pt idx="51">
                  <c:v>2.1785217703255054E-2</c:v>
                </c:pt>
                <c:pt idx="52">
                  <c:v>1.9418605498321296E-2</c:v>
                </c:pt>
                <c:pt idx="53">
                  <c:v>1.7136859204780735E-2</c:v>
                </c:pt>
                <c:pt idx="54">
                  <c:v>1.4972746563574486E-2</c:v>
                </c:pt>
                <c:pt idx="55">
                  <c:v>1.2951759566589173E-2</c:v>
                </c:pt>
                <c:pt idx="56">
                  <c:v>1.1092083467945555E-2</c:v>
                </c:pt>
                <c:pt idx="57">
                  <c:v>9.4049077376886937E-3</c:v>
                </c:pt>
                <c:pt idx="58">
                  <c:v>7.8950158300894139E-3</c:v>
                </c:pt>
                <c:pt idx="59">
                  <c:v>6.5615814774676604E-3</c:v>
                </c:pt>
                <c:pt idx="60">
                  <c:v>5.3990966513188061E-3</c:v>
                </c:pt>
                <c:pt idx="61">
                  <c:v>4.3983595980427196E-3</c:v>
                </c:pt>
                <c:pt idx="62">
                  <c:v>3.5474592846231421E-3</c:v>
                </c:pt>
                <c:pt idx="63">
                  <c:v>2.8327037741601186E-3</c:v>
                </c:pt>
                <c:pt idx="64">
                  <c:v>2.2394530294842902E-3</c:v>
                </c:pt>
                <c:pt idx="65">
                  <c:v>1.752830049356854E-3</c:v>
                </c:pt>
                <c:pt idx="66">
                  <c:v>1.3582969233685612E-3</c:v>
                </c:pt>
                <c:pt idx="67">
                  <c:v>1.0420934814422591E-3</c:v>
                </c:pt>
                <c:pt idx="68">
                  <c:v>7.9154515829799694E-4</c:v>
                </c:pt>
                <c:pt idx="69">
                  <c:v>5.9525324197758534E-4</c:v>
                </c:pt>
                <c:pt idx="70">
                  <c:v>4.4318484119380076E-4</c:v>
                </c:pt>
                <c:pt idx="71">
                  <c:v>3.2668190561999186E-4</c:v>
                </c:pt>
                <c:pt idx="72">
                  <c:v>2.3840882014648405E-4</c:v>
                </c:pt>
                <c:pt idx="73">
                  <c:v>1.722568939053681E-4</c:v>
                </c:pt>
                <c:pt idx="74">
                  <c:v>1.2322191684730198E-4</c:v>
                </c:pt>
                <c:pt idx="75">
                  <c:v>8.726826950457601E-5</c:v>
                </c:pt>
                <c:pt idx="76">
                  <c:v>6.1190193011377187E-5</c:v>
                </c:pt>
                <c:pt idx="77">
                  <c:v>4.2478027055075142E-5</c:v>
                </c:pt>
                <c:pt idx="78">
                  <c:v>2.9194692579146026E-5</c:v>
                </c:pt>
                <c:pt idx="79">
                  <c:v>1.9865547139277272E-5</c:v>
                </c:pt>
                <c:pt idx="80">
                  <c:v>1.3383022576488536E-5</c:v>
                </c:pt>
                <c:pt idx="81">
                  <c:v>8.9261657177132918E-6</c:v>
                </c:pt>
                <c:pt idx="82">
                  <c:v>5.8943067756539858E-6</c:v>
                </c:pt>
                <c:pt idx="83">
                  <c:v>3.8535196742087128E-6</c:v>
                </c:pt>
                <c:pt idx="84">
                  <c:v>2.4942471290053532E-6</c:v>
                </c:pt>
                <c:pt idx="85">
                  <c:v>1.5983741106905478E-6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AA-4000-BFE9-62BC59469F9B}"/>
            </c:ext>
          </c:extLst>
        </c:ser>
        <c:ser>
          <c:idx val="3"/>
          <c:order val="1"/>
          <c:tx>
            <c:v>Mean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'11.2'!$K$10:$K$11</c:f>
              <c:numCache>
                <c:formatCode>0.00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A-4000-BFE9-62BC59469F9B}"/>
            </c:ext>
          </c:extLst>
        </c:ser>
        <c:ser>
          <c:idx val="1"/>
          <c:order val="2"/>
          <c:tx>
            <c:v>ENE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'11.2'!$I$10:$I$11</c:f>
              <c:numCache>
                <c:formatCode>0.00</c:formatCode>
                <c:ptCount val="2"/>
                <c:pt idx="0">
                  <c:v>-1.9779655740130608</c:v>
                </c:pt>
                <c:pt idx="1">
                  <c:v>-1.9779655740130608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AA-4000-BFE9-62BC59469F9B}"/>
            </c:ext>
          </c:extLst>
        </c:ser>
        <c:ser>
          <c:idx val="2"/>
          <c:order val="3"/>
          <c:tx>
            <c:v>PFE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'11.2'!$M$10:$M$11</c:f>
              <c:numCache>
                <c:formatCode>0.00</c:formatCode>
                <c:ptCount val="2"/>
                <c:pt idx="0" formatCode="General">
                  <c:v>-18.263478740408409</c:v>
                </c:pt>
                <c:pt idx="1">
                  <c:v>-18.263478740408409</c:v>
                </c:pt>
              </c:numCache>
            </c:numRef>
          </c:xVal>
          <c:yVal>
            <c:numRef>
              <c:f>'11.2'!$J$10:$J$11</c:f>
              <c:numCache>
                <c:formatCode>0.00</c:formatCode>
                <c:ptCount val="2"/>
                <c:pt idx="0">
                  <c:v>0</c:v>
                </c:pt>
                <c:pt idx="1">
                  <c:v>3.9894228040143274E-2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AA-4000-BFE9-62BC5946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727824"/>
        <c:axId val="1125728152"/>
      </c:scatterChart>
      <c:valAx>
        <c:axId val="11257278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728152"/>
        <c:crosses val="autoZero"/>
        <c:crossBetween val="midCat"/>
      </c:valAx>
      <c:valAx>
        <c:axId val="1125728152"/>
        <c:scaling>
          <c:orientation val="minMax"/>
        </c:scaling>
        <c:delete val="1"/>
        <c:axPos val="l"/>
        <c:numFmt formatCode="0.0000" sourceLinked="1"/>
        <c:majorTickMark val="none"/>
        <c:minorTickMark val="none"/>
        <c:tickLblPos val="nextTo"/>
        <c:crossAx val="1125727824"/>
        <c:crossesAt val="0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'11.3'!$C$15</c:f>
              <c:strCache>
                <c:ptCount val="1"/>
                <c:pt idx="0">
                  <c:v>IRS1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'11.3'!$B$16:$B$69</c:f>
              <c:numCache>
                <c:formatCode>0.000</c:formatCode>
                <c:ptCount val="5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0.60000000000000009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1.9999999999999998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2.8000000000000003</c:v>
                </c:pt>
                <c:pt idx="18">
                  <c:v>3.0000000000000004</c:v>
                </c:pt>
                <c:pt idx="19">
                  <c:v>3.2000000000000006</c:v>
                </c:pt>
                <c:pt idx="20">
                  <c:v>3.4000000000000008</c:v>
                </c:pt>
                <c:pt idx="21">
                  <c:v>3.600000000000001</c:v>
                </c:pt>
                <c:pt idx="22">
                  <c:v>3.8000000000000012</c:v>
                </c:pt>
                <c:pt idx="23">
                  <c:v>4.0000000000000009</c:v>
                </c:pt>
                <c:pt idx="24">
                  <c:v>4.2000000000000011</c:v>
                </c:pt>
                <c:pt idx="25">
                  <c:v>4.4000000000000012</c:v>
                </c:pt>
                <c:pt idx="26">
                  <c:v>4.6000000000000014</c:v>
                </c:pt>
                <c:pt idx="27">
                  <c:v>4.8000000000000016</c:v>
                </c:pt>
                <c:pt idx="28">
                  <c:v>5.0000000000000018</c:v>
                </c:pt>
                <c:pt idx="29">
                  <c:v>5.200000000000002</c:v>
                </c:pt>
                <c:pt idx="30">
                  <c:v>5.4000000000000021</c:v>
                </c:pt>
                <c:pt idx="31">
                  <c:v>5.6000000000000023</c:v>
                </c:pt>
                <c:pt idx="32">
                  <c:v>5.8000000000000025</c:v>
                </c:pt>
                <c:pt idx="33">
                  <c:v>6.0000000000000027</c:v>
                </c:pt>
                <c:pt idx="34">
                  <c:v>6.2000000000000028</c:v>
                </c:pt>
                <c:pt idx="35">
                  <c:v>6.400000000000003</c:v>
                </c:pt>
                <c:pt idx="36">
                  <c:v>6.6000000000000032</c:v>
                </c:pt>
                <c:pt idx="37">
                  <c:v>6.8000000000000034</c:v>
                </c:pt>
                <c:pt idx="38">
                  <c:v>7.0000000000000036</c:v>
                </c:pt>
                <c:pt idx="39">
                  <c:v>7.2000000000000037</c:v>
                </c:pt>
                <c:pt idx="40">
                  <c:v>7.4000000000000039</c:v>
                </c:pt>
                <c:pt idx="41">
                  <c:v>7.6000000000000041</c:v>
                </c:pt>
                <c:pt idx="42">
                  <c:v>7.8000000000000043</c:v>
                </c:pt>
                <c:pt idx="43">
                  <c:v>8.0000000000000036</c:v>
                </c:pt>
                <c:pt idx="44">
                  <c:v>8.2000000000000028</c:v>
                </c:pt>
                <c:pt idx="45">
                  <c:v>8.4000000000000021</c:v>
                </c:pt>
                <c:pt idx="46">
                  <c:v>8.6000000000000014</c:v>
                </c:pt>
                <c:pt idx="47">
                  <c:v>8.8000000000000007</c:v>
                </c:pt>
                <c:pt idx="48">
                  <c:v>9</c:v>
                </c:pt>
                <c:pt idx="49">
                  <c:v>9.1999999999999993</c:v>
                </c:pt>
                <c:pt idx="50">
                  <c:v>9.3999999999999986</c:v>
                </c:pt>
                <c:pt idx="51">
                  <c:v>9.5999999999999979</c:v>
                </c:pt>
                <c:pt idx="52">
                  <c:v>9.7999999999999972</c:v>
                </c:pt>
                <c:pt idx="53">
                  <c:v>9.9999999999999964</c:v>
                </c:pt>
              </c:numCache>
            </c:numRef>
          </c:xVal>
          <c:yVal>
            <c:numRef>
              <c:f>'11.3'!$C$16:$C$69</c:f>
              <c:numCache>
                <c:formatCode>0.000</c:formatCode>
                <c:ptCount val="54"/>
                <c:pt idx="0">
                  <c:v>0</c:v>
                </c:pt>
                <c:pt idx="1">
                  <c:v>8.8760174778600362E-3</c:v>
                </c:pt>
                <c:pt idx="2">
                  <c:v>1.2489505983999795E-2</c:v>
                </c:pt>
                <c:pt idx="3">
                  <c:v>1.748441633829716E-2</c:v>
                </c:pt>
                <c:pt idx="4">
                  <c:v>2.1195439553486333E-2</c:v>
                </c:pt>
                <c:pt idx="5">
                  <c:v>2.4222072211393539E-2</c:v>
                </c:pt>
                <c:pt idx="6">
                  <c:v>2.9047819992143863E-2</c:v>
                </c:pt>
                <c:pt idx="7">
                  <c:v>3.2827883737210989E-2</c:v>
                </c:pt>
                <c:pt idx="8">
                  <c:v>3.5904805236128941E-2</c:v>
                </c:pt>
                <c:pt idx="9">
                  <c:v>3.8457704756841189E-2</c:v>
                </c:pt>
                <c:pt idx="10">
                  <c:v>4.0594998986953075E-2</c:v>
                </c:pt>
                <c:pt idx="11">
                  <c:v>4.2388626369938696E-2</c:v>
                </c:pt>
                <c:pt idx="12">
                  <c:v>4.3889453257358178E-2</c:v>
                </c:pt>
                <c:pt idx="13">
                  <c:v>4.5135166683820505E-2</c:v>
                </c:pt>
                <c:pt idx="14">
                  <c:v>4.6154708127084935E-2</c:v>
                </c:pt>
                <c:pt idx="15">
                  <c:v>4.6970942966019856E-2</c:v>
                </c:pt>
                <c:pt idx="16">
                  <c:v>4.7602357271097094E-2</c:v>
                </c:pt>
                <c:pt idx="17">
                  <c:v>4.8064184482496719E-2</c:v>
                </c:pt>
                <c:pt idx="18">
                  <c:v>4.8369180925986972E-2</c:v>
                </c:pt>
                <c:pt idx="19">
                  <c:v>4.8528175959355373E-2</c:v>
                </c:pt>
                <c:pt idx="20">
                  <c:v>4.8550472388723537E-2</c:v>
                </c:pt>
                <c:pt idx="21">
                  <c:v>4.8444144422787078E-2</c:v>
                </c:pt>
                <c:pt idx="22">
                  <c:v>4.8216263695271266E-2</c:v>
                </c:pt>
                <c:pt idx="23">
                  <c:v>4.7873073648171921E-2</c:v>
                </c:pt>
                <c:pt idx="24">
                  <c:v>4.7420126106504298E-2</c:v>
                </c:pt>
                <c:pt idx="25">
                  <c:v>4.6862389682550416E-2</c:v>
                </c:pt>
                <c:pt idx="26">
                  <c:v>4.6204336859838685E-2</c:v>
                </c:pt>
                <c:pt idx="27">
                  <c:v>4.5450014712630493E-2</c:v>
                </c:pt>
                <c:pt idx="28">
                  <c:v>4.4603102903819275E-2</c:v>
                </c:pt>
                <c:pt idx="29">
                  <c:v>4.3666961678085404E-2</c:v>
                </c:pt>
                <c:pt idx="30">
                  <c:v>4.2644671903360118E-2</c:v>
                </c:pt>
                <c:pt idx="31">
                  <c:v>4.1539068730835689E-2</c:v>
                </c:pt>
                <c:pt idx="32">
                  <c:v>4.0352770087836581E-2</c:v>
                </c:pt>
                <c:pt idx="33">
                  <c:v>3.908820095223358E-2</c:v>
                </c:pt>
                <c:pt idx="34">
                  <c:v>3.774761415656782E-2</c:v>
                </c:pt>
                <c:pt idx="35">
                  <c:v>3.633310831709028E-2</c:v>
                </c:pt>
                <c:pt idx="36">
                  <c:v>3.4846643365092182E-2</c:v>
                </c:pt>
                <c:pt idx="37">
                  <c:v>3.3290054066304607E-2</c:v>
                </c:pt>
                <c:pt idx="38">
                  <c:v>3.1665061842335612E-2</c:v>
                </c:pt>
                <c:pt idx="39">
                  <c:v>2.9973285151366519E-2</c:v>
                </c:pt>
                <c:pt idx="40">
                  <c:v>2.8216248640152281E-2</c:v>
                </c:pt>
                <c:pt idx="41">
                  <c:v>2.6395391243152263E-2</c:v>
                </c:pt>
                <c:pt idx="42">
                  <c:v>2.451207337539037E-2</c:v>
                </c:pt>
                <c:pt idx="43">
                  <c:v>2.2567583341910221E-2</c:v>
                </c:pt>
                <c:pt idx="44">
                  <c:v>2.0563143067307253E-2</c:v>
                </c:pt>
                <c:pt idx="45">
                  <c:v>1.8499913232899522E-2</c:v>
                </c:pt>
                <c:pt idx="46">
                  <c:v>1.6378997895955E-2</c:v>
                </c:pt>
                <c:pt idx="47">
                  <c:v>1.4201448654487667E-2</c:v>
                </c:pt>
                <c:pt idx="48">
                  <c:v>1.1968268412042982E-2</c:v>
                </c:pt>
                <c:pt idx="49">
                  <c:v>9.680414789279855E-3</c:v>
                </c:pt>
                <c:pt idx="50">
                  <c:v>7.3388032227535331E-3</c:v>
                </c:pt>
                <c:pt idx="51">
                  <c:v>4.9443097858968528E-3</c:v>
                </c:pt>
                <c:pt idx="52">
                  <c:v>2.4977737626139147E-3</c:v>
                </c:pt>
                <c:pt idx="53">
                  <c:v>4.4819837122037135E-17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99-490C-A6BD-B952EF92AB10}"/>
            </c:ext>
          </c:extLst>
        </c:ser>
        <c:ser>
          <c:idx val="1"/>
          <c:order val="1"/>
          <c:tx>
            <c:strRef>
              <c:f>'11.3'!$D$15</c:f>
              <c:strCache>
                <c:ptCount val="1"/>
                <c:pt idx="0">
                  <c:v>IRS2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'11.3'!$B$16:$B$69</c:f>
              <c:numCache>
                <c:formatCode>0.000</c:formatCode>
                <c:ptCount val="5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0.60000000000000009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1.9999999999999998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2.8000000000000003</c:v>
                </c:pt>
                <c:pt idx="18">
                  <c:v>3.0000000000000004</c:v>
                </c:pt>
                <c:pt idx="19">
                  <c:v>3.2000000000000006</c:v>
                </c:pt>
                <c:pt idx="20">
                  <c:v>3.4000000000000008</c:v>
                </c:pt>
                <c:pt idx="21">
                  <c:v>3.600000000000001</c:v>
                </c:pt>
                <c:pt idx="22">
                  <c:v>3.8000000000000012</c:v>
                </c:pt>
                <c:pt idx="23">
                  <c:v>4.0000000000000009</c:v>
                </c:pt>
                <c:pt idx="24">
                  <c:v>4.2000000000000011</c:v>
                </c:pt>
                <c:pt idx="25">
                  <c:v>4.4000000000000012</c:v>
                </c:pt>
                <c:pt idx="26">
                  <c:v>4.6000000000000014</c:v>
                </c:pt>
                <c:pt idx="27">
                  <c:v>4.8000000000000016</c:v>
                </c:pt>
                <c:pt idx="28">
                  <c:v>5.0000000000000018</c:v>
                </c:pt>
                <c:pt idx="29">
                  <c:v>5.200000000000002</c:v>
                </c:pt>
                <c:pt idx="30">
                  <c:v>5.4000000000000021</c:v>
                </c:pt>
                <c:pt idx="31">
                  <c:v>5.6000000000000023</c:v>
                </c:pt>
                <c:pt idx="32">
                  <c:v>5.8000000000000025</c:v>
                </c:pt>
                <c:pt idx="33">
                  <c:v>6.0000000000000027</c:v>
                </c:pt>
                <c:pt idx="34">
                  <c:v>6.2000000000000028</c:v>
                </c:pt>
                <c:pt idx="35">
                  <c:v>6.400000000000003</c:v>
                </c:pt>
                <c:pt idx="36">
                  <c:v>6.6000000000000032</c:v>
                </c:pt>
                <c:pt idx="37">
                  <c:v>6.8000000000000034</c:v>
                </c:pt>
                <c:pt idx="38">
                  <c:v>7.0000000000000036</c:v>
                </c:pt>
                <c:pt idx="39">
                  <c:v>7.2000000000000037</c:v>
                </c:pt>
                <c:pt idx="40">
                  <c:v>7.4000000000000039</c:v>
                </c:pt>
                <c:pt idx="41">
                  <c:v>7.6000000000000041</c:v>
                </c:pt>
                <c:pt idx="42">
                  <c:v>7.8000000000000043</c:v>
                </c:pt>
                <c:pt idx="43">
                  <c:v>8.0000000000000036</c:v>
                </c:pt>
                <c:pt idx="44">
                  <c:v>8.2000000000000028</c:v>
                </c:pt>
                <c:pt idx="45">
                  <c:v>8.4000000000000021</c:v>
                </c:pt>
                <c:pt idx="46">
                  <c:v>8.6000000000000014</c:v>
                </c:pt>
                <c:pt idx="47">
                  <c:v>8.8000000000000007</c:v>
                </c:pt>
                <c:pt idx="48">
                  <c:v>9</c:v>
                </c:pt>
                <c:pt idx="49">
                  <c:v>9.1999999999999993</c:v>
                </c:pt>
                <c:pt idx="50">
                  <c:v>9.3999999999999986</c:v>
                </c:pt>
                <c:pt idx="51">
                  <c:v>9.5999999999999979</c:v>
                </c:pt>
                <c:pt idx="52">
                  <c:v>9.7999999999999972</c:v>
                </c:pt>
                <c:pt idx="53">
                  <c:v>9.9999999999999964</c:v>
                </c:pt>
              </c:numCache>
            </c:numRef>
          </c:xVal>
          <c:yVal>
            <c:numRef>
              <c:f>'11.3'!$D$16:$D$69</c:f>
              <c:numCache>
                <c:formatCode>0.000</c:formatCode>
                <c:ptCount val="54"/>
                <c:pt idx="0">
                  <c:v>0</c:v>
                </c:pt>
                <c:pt idx="1">
                  <c:v>8.8760174778600362E-3</c:v>
                </c:pt>
                <c:pt idx="2">
                  <c:v>1.2489505983999795E-2</c:v>
                </c:pt>
                <c:pt idx="3">
                  <c:v>1.748441633829716E-2</c:v>
                </c:pt>
                <c:pt idx="4">
                  <c:v>2.1195439553486333E-2</c:v>
                </c:pt>
                <c:pt idx="5">
                  <c:v>2.4222072211393539E-2</c:v>
                </c:pt>
                <c:pt idx="6">
                  <c:v>2.9047819992143863E-2</c:v>
                </c:pt>
                <c:pt idx="7">
                  <c:v>3.2827883737210989E-2</c:v>
                </c:pt>
                <c:pt idx="8">
                  <c:v>3.5904805236128941E-2</c:v>
                </c:pt>
                <c:pt idx="9">
                  <c:v>3.8457704756841189E-2</c:v>
                </c:pt>
                <c:pt idx="10">
                  <c:v>4.0594998986953075E-2</c:v>
                </c:pt>
                <c:pt idx="11">
                  <c:v>4.2388626369938696E-2</c:v>
                </c:pt>
                <c:pt idx="12">
                  <c:v>4.3889453257358178E-2</c:v>
                </c:pt>
                <c:pt idx="13">
                  <c:v>4.5135166683820505E-2</c:v>
                </c:pt>
                <c:pt idx="14">
                  <c:v>4.6154708127084935E-2</c:v>
                </c:pt>
                <c:pt idx="15">
                  <c:v>4.6970942966019856E-2</c:v>
                </c:pt>
                <c:pt idx="16">
                  <c:v>4.7602357271097094E-2</c:v>
                </c:pt>
                <c:pt idx="17">
                  <c:v>4.8064184482496719E-2</c:v>
                </c:pt>
                <c:pt idx="18">
                  <c:v>4.8369180925986972E-2</c:v>
                </c:pt>
                <c:pt idx="19">
                  <c:v>4.8528175959355373E-2</c:v>
                </c:pt>
                <c:pt idx="20">
                  <c:v>4.8550472388723537E-2</c:v>
                </c:pt>
                <c:pt idx="21">
                  <c:v>4.8444144422787078E-2</c:v>
                </c:pt>
                <c:pt idx="22">
                  <c:v>4.8216263695271266E-2</c:v>
                </c:pt>
                <c:pt idx="23">
                  <c:v>4.7873073648171921E-2</c:v>
                </c:pt>
                <c:pt idx="24">
                  <c:v>4.7420126106504298E-2</c:v>
                </c:pt>
                <c:pt idx="25">
                  <c:v>4.6862389682550416E-2</c:v>
                </c:pt>
                <c:pt idx="26">
                  <c:v>4.6204336859838685E-2</c:v>
                </c:pt>
                <c:pt idx="27">
                  <c:v>4.5450014712630493E-2</c:v>
                </c:pt>
                <c:pt idx="28">
                  <c:v>4.4603102903819275E-2</c:v>
                </c:pt>
                <c:pt idx="29">
                  <c:v>4.3666961678085404E-2</c:v>
                </c:pt>
                <c:pt idx="30">
                  <c:v>4.2644671903360118E-2</c:v>
                </c:pt>
                <c:pt idx="31">
                  <c:v>4.1539068730835689E-2</c:v>
                </c:pt>
                <c:pt idx="32">
                  <c:v>4.0352770087836581E-2</c:v>
                </c:pt>
                <c:pt idx="33">
                  <c:v>3.908820095223358E-2</c:v>
                </c:pt>
                <c:pt idx="34">
                  <c:v>3.774761415656782E-2</c:v>
                </c:pt>
                <c:pt idx="35">
                  <c:v>3.633310831709028E-2</c:v>
                </c:pt>
                <c:pt idx="36">
                  <c:v>3.4846643365092182E-2</c:v>
                </c:pt>
                <c:pt idx="37">
                  <c:v>3.3290054066304607E-2</c:v>
                </c:pt>
                <c:pt idx="38">
                  <c:v>3.1665061842335612E-2</c:v>
                </c:pt>
                <c:pt idx="39">
                  <c:v>2.9973285151366519E-2</c:v>
                </c:pt>
                <c:pt idx="40">
                  <c:v>2.8216248640152281E-2</c:v>
                </c:pt>
                <c:pt idx="41">
                  <c:v>2.6395391243152263E-2</c:v>
                </c:pt>
                <c:pt idx="42">
                  <c:v>2.451207337539037E-2</c:v>
                </c:pt>
                <c:pt idx="43">
                  <c:v>2.2567583341910221E-2</c:v>
                </c:pt>
                <c:pt idx="44">
                  <c:v>2.0563143067307253E-2</c:v>
                </c:pt>
                <c:pt idx="45">
                  <c:v>1.8499913232899522E-2</c:v>
                </c:pt>
                <c:pt idx="46">
                  <c:v>1.6378997895955E-2</c:v>
                </c:pt>
                <c:pt idx="47">
                  <c:v>1.4201448654487667E-2</c:v>
                </c:pt>
                <c:pt idx="48">
                  <c:v>1.1968268412042982E-2</c:v>
                </c:pt>
                <c:pt idx="49">
                  <c:v>9.680414789279855E-3</c:v>
                </c:pt>
                <c:pt idx="50">
                  <c:v>7.3388032227535331E-3</c:v>
                </c:pt>
                <c:pt idx="51">
                  <c:v>4.9443097858968528E-3</c:v>
                </c:pt>
                <c:pt idx="52">
                  <c:v>2.4977737626139147E-3</c:v>
                </c:pt>
                <c:pt idx="53">
                  <c:v>4.4819837122037135E-17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99-490C-A6BD-B952EF92AB10}"/>
            </c:ext>
          </c:extLst>
        </c:ser>
        <c:ser>
          <c:idx val="2"/>
          <c:order val="2"/>
          <c:tx>
            <c:strRef>
              <c:f>'11.3'!$E$15</c:f>
              <c:strCache>
                <c:ptCount val="1"/>
                <c:pt idx="0">
                  <c:v>FX Forward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'11.3'!$B$16:$B$69</c:f>
              <c:numCache>
                <c:formatCode>0.000</c:formatCode>
                <c:ptCount val="5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0.60000000000000009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1.9999999999999998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2.8000000000000003</c:v>
                </c:pt>
                <c:pt idx="18">
                  <c:v>3.0000000000000004</c:v>
                </c:pt>
                <c:pt idx="19">
                  <c:v>3.2000000000000006</c:v>
                </c:pt>
                <c:pt idx="20">
                  <c:v>3.4000000000000008</c:v>
                </c:pt>
                <c:pt idx="21">
                  <c:v>3.600000000000001</c:v>
                </c:pt>
                <c:pt idx="22">
                  <c:v>3.8000000000000012</c:v>
                </c:pt>
                <c:pt idx="23">
                  <c:v>4.0000000000000009</c:v>
                </c:pt>
                <c:pt idx="24">
                  <c:v>4.2000000000000011</c:v>
                </c:pt>
                <c:pt idx="25">
                  <c:v>4.4000000000000012</c:v>
                </c:pt>
                <c:pt idx="26">
                  <c:v>4.6000000000000014</c:v>
                </c:pt>
                <c:pt idx="27">
                  <c:v>4.8000000000000016</c:v>
                </c:pt>
                <c:pt idx="28">
                  <c:v>5.0000000000000018</c:v>
                </c:pt>
                <c:pt idx="29">
                  <c:v>5.200000000000002</c:v>
                </c:pt>
                <c:pt idx="30">
                  <c:v>5.4000000000000021</c:v>
                </c:pt>
                <c:pt idx="31">
                  <c:v>5.6000000000000023</c:v>
                </c:pt>
                <c:pt idx="32">
                  <c:v>5.8000000000000025</c:v>
                </c:pt>
                <c:pt idx="33">
                  <c:v>6.0000000000000027</c:v>
                </c:pt>
                <c:pt idx="34">
                  <c:v>6.2000000000000028</c:v>
                </c:pt>
                <c:pt idx="35">
                  <c:v>6.400000000000003</c:v>
                </c:pt>
                <c:pt idx="36">
                  <c:v>6.6000000000000032</c:v>
                </c:pt>
                <c:pt idx="37">
                  <c:v>6.8000000000000034</c:v>
                </c:pt>
                <c:pt idx="38">
                  <c:v>7.0000000000000036</c:v>
                </c:pt>
                <c:pt idx="39">
                  <c:v>7.2000000000000037</c:v>
                </c:pt>
                <c:pt idx="40">
                  <c:v>7.4000000000000039</c:v>
                </c:pt>
                <c:pt idx="41">
                  <c:v>7.6000000000000041</c:v>
                </c:pt>
                <c:pt idx="42">
                  <c:v>7.8000000000000043</c:v>
                </c:pt>
                <c:pt idx="43">
                  <c:v>8.0000000000000036</c:v>
                </c:pt>
                <c:pt idx="44">
                  <c:v>8.2000000000000028</c:v>
                </c:pt>
                <c:pt idx="45">
                  <c:v>8.4000000000000021</c:v>
                </c:pt>
                <c:pt idx="46">
                  <c:v>8.6000000000000014</c:v>
                </c:pt>
                <c:pt idx="47">
                  <c:v>8.8000000000000007</c:v>
                </c:pt>
                <c:pt idx="48">
                  <c:v>9</c:v>
                </c:pt>
                <c:pt idx="49">
                  <c:v>9.1999999999999993</c:v>
                </c:pt>
                <c:pt idx="50">
                  <c:v>9.3999999999999986</c:v>
                </c:pt>
                <c:pt idx="51">
                  <c:v>9.5999999999999979</c:v>
                </c:pt>
                <c:pt idx="52">
                  <c:v>9.7999999999999972</c:v>
                </c:pt>
                <c:pt idx="53">
                  <c:v>9.9999999999999964</c:v>
                </c:pt>
              </c:numCache>
            </c:numRef>
          </c:xVal>
          <c:yVal>
            <c:numRef>
              <c:f>'11.3'!$E$16:$E$69</c:f>
              <c:numCache>
                <c:formatCode>0.000</c:formatCode>
                <c:ptCount val="54"/>
                <c:pt idx="0">
                  <c:v>0</c:v>
                </c:pt>
                <c:pt idx="1">
                  <c:v>8.920620580763856E-3</c:v>
                </c:pt>
                <c:pt idx="2">
                  <c:v>1.2615662610100803E-2</c:v>
                </c:pt>
                <c:pt idx="3">
                  <c:v>1.7841241161527712E-2</c:v>
                </c:pt>
                <c:pt idx="4">
                  <c:v>2.1850968611841583E-2</c:v>
                </c:pt>
                <c:pt idx="5">
                  <c:v>2.5231325220201606E-2</c:v>
                </c:pt>
                <c:pt idx="6">
                  <c:v>3.0901936161855173E-2</c:v>
                </c:pt>
                <c:pt idx="7">
                  <c:v>3.5682482323055424E-2</c:v>
                </c:pt>
                <c:pt idx="8">
                  <c:v>3.9894228040143274E-2</c:v>
                </c:pt>
                <c:pt idx="9">
                  <c:v>4.3701937223683165E-2</c:v>
                </c:pt>
                <c:pt idx="10">
                  <c:v>4.7203487194131491E-2</c:v>
                </c:pt>
                <c:pt idx="11">
                  <c:v>5.0462650440403212E-2</c:v>
                </c:pt>
                <c:pt idx="12">
                  <c:v>5.3523723484583147E-2</c:v>
                </c:pt>
                <c:pt idx="13">
                  <c:v>5.6418958354775631E-2</c:v>
                </c:pt>
                <c:pt idx="14">
                  <c:v>5.9172702727031977E-2</c:v>
                </c:pt>
                <c:pt idx="15">
                  <c:v>6.1803872323710346E-2</c:v>
                </c:pt>
                <c:pt idx="16">
                  <c:v>6.4327509825806886E-2</c:v>
                </c:pt>
                <c:pt idx="17">
                  <c:v>6.6755811781245469E-2</c:v>
                </c:pt>
                <c:pt idx="18">
                  <c:v>6.9098829894267105E-2</c:v>
                </c:pt>
                <c:pt idx="19">
                  <c:v>7.1364964646110862E-2</c:v>
                </c:pt>
                <c:pt idx="20">
                  <c:v>7.3561321801096299E-2</c:v>
                </c:pt>
                <c:pt idx="21">
                  <c:v>7.5693975660604818E-2</c:v>
                </c:pt>
                <c:pt idx="22">
                  <c:v>7.7768167250437545E-2</c:v>
                </c:pt>
                <c:pt idx="23">
                  <c:v>7.9788456080286549E-2</c:v>
                </c:pt>
                <c:pt idx="24">
                  <c:v>8.1758838114662613E-2</c:v>
                </c:pt>
                <c:pt idx="25">
                  <c:v>8.3682838718840066E-2</c:v>
                </c:pt>
                <c:pt idx="26">
                  <c:v>8.5563586777479078E-2</c:v>
                </c:pt>
                <c:pt idx="27">
                  <c:v>8.7403874447366345E-2</c:v>
                </c:pt>
                <c:pt idx="28">
                  <c:v>8.9206205807638592E-2</c:v>
                </c:pt>
                <c:pt idx="29">
                  <c:v>9.0972836829344636E-2</c:v>
                </c:pt>
                <c:pt idx="30">
                  <c:v>9.2705808485565533E-2</c:v>
                </c:pt>
                <c:pt idx="31">
                  <c:v>9.4406974388262996E-2</c:v>
                </c:pt>
                <c:pt idx="32">
                  <c:v>9.6078024018658587E-2</c:v>
                </c:pt>
                <c:pt idx="33">
                  <c:v>9.7720502380584023E-2</c:v>
                </c:pt>
                <c:pt idx="34">
                  <c:v>9.9335826727810148E-2</c:v>
                </c:pt>
                <c:pt idx="35">
                  <c:v>0.10092530088080644</c:v>
                </c:pt>
                <c:pt idx="36">
                  <c:v>0.10249012754438888</c:v>
                </c:pt>
                <c:pt idx="37">
                  <c:v>0.10403141895720201</c:v>
                </c:pt>
                <c:pt idx="38">
                  <c:v>0.10555020614111885</c:v>
                </c:pt>
                <c:pt idx="39">
                  <c:v>0.10704744696916631</c:v>
                </c:pt>
                <c:pt idx="40">
                  <c:v>0.10852403323135509</c:v>
                </c:pt>
                <c:pt idx="41">
                  <c:v>0.10998079684646796</c:v>
                </c:pt>
                <c:pt idx="42">
                  <c:v>0.11141851534268372</c:v>
                </c:pt>
                <c:pt idx="43">
                  <c:v>0.1128379167095513</c:v>
                </c:pt>
                <c:pt idx="44">
                  <c:v>0.11423968370726272</c:v>
                </c:pt>
                <c:pt idx="45">
                  <c:v>0.11562445770562219</c:v>
                </c:pt>
                <c:pt idx="46">
                  <c:v>0.11699284211396441</c:v>
                </c:pt>
                <c:pt idx="47">
                  <c:v>0.11834540545406398</c:v>
                </c:pt>
                <c:pt idx="48">
                  <c:v>0.11968268412042982</c:v>
                </c:pt>
                <c:pt idx="49">
                  <c:v>0.12100518486599809</c:v>
                </c:pt>
                <c:pt idx="50">
                  <c:v>0.12231338704589192</c:v>
                </c:pt>
                <c:pt idx="51">
                  <c:v>0.12360774464742068</c:v>
                </c:pt>
                <c:pt idx="52">
                  <c:v>0.12488868813069398</c:v>
                </c:pt>
                <c:pt idx="53">
                  <c:v>0.126156626101008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99-490C-A6BD-B952EF92AB10}"/>
            </c:ext>
          </c:extLst>
        </c:ser>
        <c:ser>
          <c:idx val="3"/>
          <c:order val="3"/>
          <c:tx>
            <c:strRef>
              <c:f>'11.3'!$F$15</c:f>
              <c:strCache>
                <c:ptCount val="1"/>
                <c:pt idx="0">
                  <c:v>XCCY Swap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'11.3'!$B$16:$B$69</c:f>
              <c:numCache>
                <c:formatCode>0.000</c:formatCode>
                <c:ptCount val="54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0.60000000000000009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1.9999999999999998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2.8000000000000003</c:v>
                </c:pt>
                <c:pt idx="18">
                  <c:v>3.0000000000000004</c:v>
                </c:pt>
                <c:pt idx="19">
                  <c:v>3.2000000000000006</c:v>
                </c:pt>
                <c:pt idx="20">
                  <c:v>3.4000000000000008</c:v>
                </c:pt>
                <c:pt idx="21">
                  <c:v>3.600000000000001</c:v>
                </c:pt>
                <c:pt idx="22">
                  <c:v>3.8000000000000012</c:v>
                </c:pt>
                <c:pt idx="23">
                  <c:v>4.0000000000000009</c:v>
                </c:pt>
                <c:pt idx="24">
                  <c:v>4.2000000000000011</c:v>
                </c:pt>
                <c:pt idx="25">
                  <c:v>4.4000000000000012</c:v>
                </c:pt>
                <c:pt idx="26">
                  <c:v>4.6000000000000014</c:v>
                </c:pt>
                <c:pt idx="27">
                  <c:v>4.8000000000000016</c:v>
                </c:pt>
                <c:pt idx="28">
                  <c:v>5.0000000000000018</c:v>
                </c:pt>
                <c:pt idx="29">
                  <c:v>5.200000000000002</c:v>
                </c:pt>
                <c:pt idx="30">
                  <c:v>5.4000000000000021</c:v>
                </c:pt>
                <c:pt idx="31">
                  <c:v>5.6000000000000023</c:v>
                </c:pt>
                <c:pt idx="32">
                  <c:v>5.8000000000000025</c:v>
                </c:pt>
                <c:pt idx="33">
                  <c:v>6.0000000000000027</c:v>
                </c:pt>
                <c:pt idx="34">
                  <c:v>6.2000000000000028</c:v>
                </c:pt>
                <c:pt idx="35">
                  <c:v>6.400000000000003</c:v>
                </c:pt>
                <c:pt idx="36">
                  <c:v>6.6000000000000032</c:v>
                </c:pt>
                <c:pt idx="37">
                  <c:v>6.8000000000000034</c:v>
                </c:pt>
                <c:pt idx="38">
                  <c:v>7.0000000000000036</c:v>
                </c:pt>
                <c:pt idx="39">
                  <c:v>7.2000000000000037</c:v>
                </c:pt>
                <c:pt idx="40">
                  <c:v>7.4000000000000039</c:v>
                </c:pt>
                <c:pt idx="41">
                  <c:v>7.6000000000000041</c:v>
                </c:pt>
                <c:pt idx="42">
                  <c:v>7.8000000000000043</c:v>
                </c:pt>
                <c:pt idx="43">
                  <c:v>8.0000000000000036</c:v>
                </c:pt>
                <c:pt idx="44">
                  <c:v>8.2000000000000028</c:v>
                </c:pt>
                <c:pt idx="45">
                  <c:v>8.4000000000000021</c:v>
                </c:pt>
                <c:pt idx="46">
                  <c:v>8.6000000000000014</c:v>
                </c:pt>
                <c:pt idx="47">
                  <c:v>8.8000000000000007</c:v>
                </c:pt>
                <c:pt idx="48">
                  <c:v>9</c:v>
                </c:pt>
                <c:pt idx="49">
                  <c:v>9.1999999999999993</c:v>
                </c:pt>
                <c:pt idx="50">
                  <c:v>9.3999999999999986</c:v>
                </c:pt>
                <c:pt idx="51">
                  <c:v>9.5999999999999979</c:v>
                </c:pt>
                <c:pt idx="52">
                  <c:v>9.7999999999999972</c:v>
                </c:pt>
                <c:pt idx="53">
                  <c:v>9.9999999999999964</c:v>
                </c:pt>
              </c:numCache>
            </c:numRef>
          </c:xVal>
          <c:yVal>
            <c:numRef>
              <c:f>'11.3'!$F$16:$F$69</c:f>
              <c:numCache>
                <c:formatCode>0.000</c:formatCode>
                <c:ptCount val="54"/>
                <c:pt idx="0">
                  <c:v>0</c:v>
                </c:pt>
                <c:pt idx="1">
                  <c:v>1.8220921654460469E-2</c:v>
                </c:pt>
                <c:pt idx="2">
                  <c:v>2.5682217220465143E-2</c:v>
                </c:pt>
                <c:pt idx="3">
                  <c:v>3.6077089575103936E-2</c:v>
                </c:pt>
                <c:pt idx="4">
                  <c:v>4.3888147781272355E-2</c:v>
                </c:pt>
                <c:pt idx="5">
                  <c:v>5.0335323927232209E-2</c:v>
                </c:pt>
                <c:pt idx="6">
                  <c:v>6.0811995468759178E-2</c:v>
                </c:pt>
                <c:pt idx="7">
                  <c:v>6.9258585974978318E-2</c:v>
                </c:pt>
                <c:pt idx="8">
                  <c:v>7.6363846909955013E-2</c:v>
                </c:pt>
                <c:pt idx="9">
                  <c:v>8.2486292247485299E-2</c:v>
                </c:pt>
                <c:pt idx="10">
                  <c:v>8.7842125872211227E-2</c:v>
                </c:pt>
                <c:pt idx="11">
                  <c:v>9.2574416481374669E-2</c:v>
                </c:pt>
                <c:pt idx="12">
                  <c:v>9.6784153666986228E-2</c:v>
                </c:pt>
                <c:pt idx="13">
                  <c:v>0.1005461186978254</c:v>
                </c:pt>
                <c:pt idx="14">
                  <c:v>0.10391777905776567</c:v>
                </c:pt>
                <c:pt idx="15">
                  <c:v>0.10694463204520104</c:v>
                </c:pt>
                <c:pt idx="16">
                  <c:v>0.1096635947208377</c:v>
                </c:pt>
                <c:pt idx="17">
                  <c:v>0.11210525108433196</c:v>
                </c:pt>
                <c:pt idx="18">
                  <c:v>0.11429539679699605</c:v>
                </c:pt>
                <c:pt idx="19">
                  <c:v>0.1162561340185779</c:v>
                </c:pt>
                <c:pt idx="20">
                  <c:v>0.11800666798750757</c:v>
                </c:pt>
                <c:pt idx="21">
                  <c:v>0.11956389995158279</c:v>
                </c:pt>
                <c:pt idx="22">
                  <c:v>0.12094287745975252</c:v>
                </c:pt>
                <c:pt idx="23">
                  <c:v>0.12215714250217262</c:v>
                </c:pt>
                <c:pt idx="24">
                  <c:v>0.12321900504683</c:v>
                </c:pt>
                <c:pt idx="25">
                  <c:v>0.12413976113434785</c:v>
                </c:pt>
                <c:pt idx="26">
                  <c:v>0.12492986912074792</c:v>
                </c:pt>
                <c:pt idx="27">
                  <c:v>0.12559909387323595</c:v>
                </c:pt>
                <c:pt idx="28">
                  <c:v>0.12615662610100803</c:v>
                </c:pt>
                <c:pt idx="29">
                  <c:v>0.12661118215112926</c:v>
                </c:pt>
                <c:pt idx="30">
                  <c:v>0.12697108826923181</c:v>
                </c:pt>
                <c:pt idx="31">
                  <c:v>0.12724435235339054</c:v>
                </c:pt>
                <c:pt idx="32">
                  <c:v>0.12743872550890137</c:v>
                </c:pt>
                <c:pt idx="33">
                  <c:v>0.1275617551686844</c:v>
                </c:pt>
                <c:pt idx="34">
                  <c:v>0.12762083112848405</c:v>
                </c:pt>
                <c:pt idx="35">
                  <c:v>0.12762322552304703</c:v>
                </c:pt>
                <c:pt idx="36">
                  <c:v>0.12757612751453234</c:v>
                </c:pt>
                <c:pt idx="37">
                  <c:v>0.12748667326023752</c:v>
                </c:pt>
                <c:pt idx="38">
                  <c:v>0.12736197156108245</c:v>
                </c:pt>
                <c:pt idx="39">
                  <c:v>0.12720912545662305</c:v>
                </c:pt>
                <c:pt idx="40">
                  <c:v>0.12703524992082182</c:v>
                </c:pt>
                <c:pt idx="41">
                  <c:v>0.12684748572159713</c:v>
                </c:pt>
                <c:pt idx="42">
                  <c:v>0.12665300943411742</c:v>
                </c:pt>
                <c:pt idx="43">
                  <c:v>0.12645903954195464</c:v>
                </c:pt>
                <c:pt idx="44">
                  <c:v>0.12627283852159274</c:v>
                </c:pt>
                <c:pt idx="45">
                  <c:v>0.12610171078515475</c:v>
                </c:pt>
                <c:pt idx="46">
                  <c:v>0.12595299635477442</c:v>
                </c:pt>
                <c:pt idx="47">
                  <c:v>0.12583406016120455</c:v>
                </c:pt>
                <c:pt idx="48">
                  <c:v>0.12575227690030397</c:v>
                </c:pt>
                <c:pt idx="49">
                  <c:v>0.12571501144478123</c:v>
                </c:pt>
                <c:pt idx="50">
                  <c:v>0.12572959489495825</c:v>
                </c:pt>
                <c:pt idx="51">
                  <c:v>0.12580329646007554</c:v>
                </c:pt>
                <c:pt idx="52">
                  <c:v>0.12594329148795472</c:v>
                </c:pt>
                <c:pt idx="53">
                  <c:v>0.126156626101008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99-490C-A6BD-B952EF92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06768"/>
        <c:axId val="871007096"/>
      </c:scatterChart>
      <c:valAx>
        <c:axId val="871006768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007096"/>
        <c:crosses val="autoZero"/>
        <c:crossBetween val="midCat"/>
      </c:valAx>
      <c:valAx>
        <c:axId val="871007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006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'11.4'!$F$18</c:f>
              <c:strCache>
                <c:ptCount val="1"/>
                <c:pt idx="0">
                  <c:v>EPE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'11.4'!$F$19:$F$41</c:f>
              <c:numCache>
                <c:formatCode>0.00%</c:formatCode>
                <c:ptCount val="23"/>
                <c:pt idx="0">
                  <c:v>0</c:v>
                </c:pt>
                <c:pt idx="1">
                  <c:v>5.1522461381733921E-3</c:v>
                </c:pt>
                <c:pt idx="2">
                  <c:v>6.717365980950931E-3</c:v>
                </c:pt>
                <c:pt idx="3">
                  <c:v>1.2104197441833178E-2</c:v>
                </c:pt>
                <c:pt idx="4">
                  <c:v>1.7404059375426027E-2</c:v>
                </c:pt>
                <c:pt idx="5">
                  <c:v>1.9183373361633352E-2</c:v>
                </c:pt>
                <c:pt idx="6">
                  <c:v>2.0344194673074092E-2</c:v>
                </c:pt>
                <c:pt idx="7">
                  <c:v>2.1063885369644781E-2</c:v>
                </c:pt>
                <c:pt idx="8">
                  <c:v>2.1436037089853671E-2</c:v>
                </c:pt>
                <c:pt idx="9">
                  <c:v>2.1517580888332461E-2</c:v>
                </c:pt>
                <c:pt idx="10">
                  <c:v>2.134633313121935E-2</c:v>
                </c:pt>
                <c:pt idx="11">
                  <c:v>2.0948958605414569E-2</c:v>
                </c:pt>
                <c:pt idx="12">
                  <c:v>2.0345081432289969E-2</c:v>
                </c:pt>
                <c:pt idx="13">
                  <c:v>1.9549611006674791E-2</c:v>
                </c:pt>
                <c:pt idx="14">
                  <c:v>1.8574151888160372E-2</c:v>
                </c:pt>
                <c:pt idx="15">
                  <c:v>1.7427905703798409E-2</c:v>
                </c:pt>
                <c:pt idx="16">
                  <c:v>1.6118273626727873E-2</c:v>
                </c:pt>
                <c:pt idx="17">
                  <c:v>1.4651273428039803E-2</c:v>
                </c:pt>
                <c:pt idx="18">
                  <c:v>1.3031836907693547E-2</c:v>
                </c:pt>
                <c:pt idx="19">
                  <c:v>1.1264027455318067E-2</c:v>
                </c:pt>
                <c:pt idx="20">
                  <c:v>9.3512026921068019E-3</c:v>
                </c:pt>
                <c:pt idx="21">
                  <c:v>7.2961383790419157E-3</c:v>
                </c:pt>
                <c:pt idx="22">
                  <c:v>5.1011243941258442E-3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CD-4E7A-8DE2-8BE99AED1E11}"/>
            </c:ext>
          </c:extLst>
        </c:ser>
        <c:ser>
          <c:idx val="1"/>
          <c:order val="1"/>
          <c:tx>
            <c:strRef>
              <c:f>'11.4'!$G$18</c:f>
              <c:strCache>
                <c:ptCount val="1"/>
                <c:pt idx="0">
                  <c:v>PFE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'11.4'!$G$19:$G$41</c:f>
              <c:numCache>
                <c:formatCode>0.00%</c:formatCode>
                <c:ptCount val="23"/>
                <c:pt idx="0">
                  <c:v>0</c:v>
                </c:pt>
                <c:pt idx="1">
                  <c:v>2.2810185684548345E-2</c:v>
                </c:pt>
                <c:pt idx="2">
                  <c:v>3.1970932968159199E-2</c:v>
                </c:pt>
                <c:pt idx="3">
                  <c:v>4.9179717323179634E-2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8.8936864050223358E-2</c:v>
                </c:pt>
                <c:pt idx="8">
                  <c:v>9.1483253488062438E-2</c:v>
                </c:pt>
                <c:pt idx="9">
                  <c:v>9.2314165632165185E-2</c:v>
                </c:pt>
                <c:pt idx="10">
                  <c:v>9.1652834207207365E-2</c:v>
                </c:pt>
                <c:pt idx="11">
                  <c:v>8.9656737531415967E-2</c:v>
                </c:pt>
                <c:pt idx="12">
                  <c:v>8.6441834095929829E-2</c:v>
                </c:pt>
                <c:pt idx="13">
                  <c:v>8.2096275910629637E-2</c:v>
                </c:pt>
                <c:pt idx="14">
                  <c:v>7.6688721580061153E-2</c:v>
                </c:pt>
                <c:pt idx="15">
                  <c:v>7.0273654542060193E-2</c:v>
                </c:pt>
                <c:pt idx="16">
                  <c:v>6.2894935966904861E-2</c:v>
                </c:pt>
                <c:pt idx="17">
                  <c:v>5.4588264363389351E-2</c:v>
                </c:pt>
                <c:pt idx="18">
                  <c:v>4.5382929851404914E-2</c:v>
                </c:pt>
                <c:pt idx="19">
                  <c:v>3.5303097462558233E-2</c:v>
                </c:pt>
                <c:pt idx="20">
                  <c:v>2.4368766581358791E-2</c:v>
                </c:pt>
                <c:pt idx="21">
                  <c:v>1.2596501959309723E-2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CD-4E7A-8DE2-8BE99AED1E11}"/>
            </c:ext>
          </c:extLst>
        </c:ser>
        <c:ser>
          <c:idx val="2"/>
          <c:order val="2"/>
          <c:tx>
            <c:v>PFE New</c:v>
          </c:tx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'11.4'!$J$18:$J$41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6-4B63-BF18-EA7057ED14B2}"/>
            </c:ext>
          </c:extLst>
        </c:ser>
        <c:ser>
          <c:idx val="3"/>
          <c:order val="3"/>
          <c:tx>
            <c:v>ES</c:v>
          </c:tx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'11.4'!$O$20:$O$41</c:f>
              <c:numCache>
                <c:formatCode>0.00%</c:formatCode>
                <c:ptCount val="2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76-4B63-BF18-EA7057ED1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14928"/>
        <c:axId val="342315320"/>
      </c:scatterChart>
      <c:valAx>
        <c:axId val="342314928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2315320"/>
        <c:crosses val="autoZero"/>
        <c:crossBetween val="midCat"/>
      </c:valAx>
      <c:valAx>
        <c:axId val="342315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PFE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423149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7073009623797023"/>
          <c:y val="2.3640661938534278E-2"/>
          <c:w val="0.55126815398075235"/>
          <c:h val="7.1248673703021168E-2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'11.4'!$F$18</c:f>
              <c:strCache>
                <c:ptCount val="1"/>
                <c:pt idx="0">
                  <c:v>EPE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'11.4'!$F$19:$F$41</c:f>
              <c:numCache>
                <c:formatCode>0.00%</c:formatCode>
                <c:ptCount val="23"/>
                <c:pt idx="0">
                  <c:v>0</c:v>
                </c:pt>
                <c:pt idx="1">
                  <c:v>5.1522461381733921E-3</c:v>
                </c:pt>
                <c:pt idx="2">
                  <c:v>6.717365980950931E-3</c:v>
                </c:pt>
                <c:pt idx="3">
                  <c:v>1.2104197441833178E-2</c:v>
                </c:pt>
                <c:pt idx="4">
                  <c:v>1.7404059375426027E-2</c:v>
                </c:pt>
                <c:pt idx="5">
                  <c:v>1.9183373361633352E-2</c:v>
                </c:pt>
                <c:pt idx="6">
                  <c:v>2.0344194673074092E-2</c:v>
                </c:pt>
                <c:pt idx="7">
                  <c:v>2.1063885369644781E-2</c:v>
                </c:pt>
                <c:pt idx="8">
                  <c:v>2.1436037089853671E-2</c:v>
                </c:pt>
                <c:pt idx="9">
                  <c:v>2.1517580888332461E-2</c:v>
                </c:pt>
                <c:pt idx="10">
                  <c:v>2.134633313121935E-2</c:v>
                </c:pt>
                <c:pt idx="11">
                  <c:v>2.0948958605414569E-2</c:v>
                </c:pt>
                <c:pt idx="12">
                  <c:v>2.0345081432289969E-2</c:v>
                </c:pt>
                <c:pt idx="13">
                  <c:v>1.9549611006674791E-2</c:v>
                </c:pt>
                <c:pt idx="14">
                  <c:v>1.8574151888160372E-2</c:v>
                </c:pt>
                <c:pt idx="15">
                  <c:v>1.7427905703798409E-2</c:v>
                </c:pt>
                <c:pt idx="16">
                  <c:v>1.6118273626727873E-2</c:v>
                </c:pt>
                <c:pt idx="17">
                  <c:v>1.4651273428039803E-2</c:v>
                </c:pt>
                <c:pt idx="18">
                  <c:v>1.3031836907693547E-2</c:v>
                </c:pt>
                <c:pt idx="19">
                  <c:v>1.1264027455318067E-2</c:v>
                </c:pt>
                <c:pt idx="20">
                  <c:v>9.3512026921068019E-3</c:v>
                </c:pt>
                <c:pt idx="21">
                  <c:v>7.2961383790419157E-3</c:v>
                </c:pt>
                <c:pt idx="22">
                  <c:v>5.1011243941258442E-3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D3-4BF5-9795-AA37DB033A55}"/>
            </c:ext>
          </c:extLst>
        </c:ser>
        <c:ser>
          <c:idx val="1"/>
          <c:order val="1"/>
          <c:tx>
            <c:strRef>
              <c:f>'11.4'!$G$18</c:f>
              <c:strCache>
                <c:ptCount val="1"/>
                <c:pt idx="0">
                  <c:v>PFE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'11.4'!$B$19:$B$41</c:f>
              <c:numCache>
                <c:formatCode>0.00</c:formatCode>
                <c:ptCount val="2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</c:numCache>
            </c:numRef>
          </c:xVal>
          <c:yVal>
            <c:numRef>
              <c:f>'11.4'!$G$19:$G$41</c:f>
              <c:numCache>
                <c:formatCode>0.00%</c:formatCode>
                <c:ptCount val="23"/>
                <c:pt idx="0">
                  <c:v>0</c:v>
                </c:pt>
                <c:pt idx="1">
                  <c:v>2.2810185684548345E-2</c:v>
                </c:pt>
                <c:pt idx="2">
                  <c:v>3.1970932968159199E-2</c:v>
                </c:pt>
                <c:pt idx="3">
                  <c:v>4.9179717323179634E-2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8.8936864050223358E-2</c:v>
                </c:pt>
                <c:pt idx="8">
                  <c:v>9.1483253488062438E-2</c:v>
                </c:pt>
                <c:pt idx="9">
                  <c:v>9.2314165632165185E-2</c:v>
                </c:pt>
                <c:pt idx="10">
                  <c:v>9.1652834207207365E-2</c:v>
                </c:pt>
                <c:pt idx="11">
                  <c:v>8.9656737531415967E-2</c:v>
                </c:pt>
                <c:pt idx="12">
                  <c:v>8.6441834095929829E-2</c:v>
                </c:pt>
                <c:pt idx="13">
                  <c:v>8.2096275910629637E-2</c:v>
                </c:pt>
                <c:pt idx="14">
                  <c:v>7.6688721580061153E-2</c:v>
                </c:pt>
                <c:pt idx="15">
                  <c:v>7.0273654542060193E-2</c:v>
                </c:pt>
                <c:pt idx="16">
                  <c:v>6.2894935966904861E-2</c:v>
                </c:pt>
                <c:pt idx="17">
                  <c:v>5.4588264363389351E-2</c:v>
                </c:pt>
                <c:pt idx="18">
                  <c:v>4.5382929851404914E-2</c:v>
                </c:pt>
                <c:pt idx="19">
                  <c:v>3.5303097462558233E-2</c:v>
                </c:pt>
                <c:pt idx="20">
                  <c:v>2.4368766581358791E-2</c:v>
                </c:pt>
                <c:pt idx="21">
                  <c:v>1.2596501959309723E-2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D3-4BF5-9795-AA37DB03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06768"/>
        <c:axId val="871007096"/>
      </c:scatterChart>
      <c:valAx>
        <c:axId val="871006768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007096"/>
        <c:crosses val="autoZero"/>
        <c:crossBetween val="midCat"/>
      </c:valAx>
      <c:valAx>
        <c:axId val="871007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006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overlay val="0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D$12" lockText="1" noThreeD="1"/>
</file>

<file path=xl/ctrlProps/ctrlProp2.xml><?xml version="1.0" encoding="utf-8"?>
<formControlPr xmlns="http://schemas.microsoft.com/office/spreadsheetml/2009/9/main" objectType="CheckBox" checked="Checked" fmlaLink="$D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training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http://www.oftraining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http://www.oftraining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http://www.oftraining.com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training.com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train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66675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5857875" cy="1163955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Simple Exposure Metric Calculation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example of the calculation of EPE, ENE and PFE</a:t>
          </a:r>
        </a:p>
        <a:p>
          <a:pPr algn="l" rtl="0">
            <a:defRPr sz="1000"/>
          </a:pPr>
          <a:endParaRPr lang="en-GB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209550</xdr:colOff>
      <xdr:row>2</xdr:row>
      <xdr:rowOff>114300</xdr:rowOff>
    </xdr:from>
    <xdr:to>
      <xdr:col>12</xdr:col>
      <xdr:colOff>0</xdr:colOff>
      <xdr:row>5</xdr:row>
      <xdr:rowOff>0</xdr:rowOff>
    </xdr:to>
    <xdr:sp macro="" textlink="">
      <xdr:nvSpPr>
        <xdr:cNvPr id="3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00750" y="449580"/>
          <a:ext cx="2228850" cy="45529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276225</xdr:colOff>
      <xdr:row>6</xdr:row>
      <xdr:rowOff>7620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6806565" cy="1003935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900"/>
            </a:lnSpc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EPE and PFE for a Normal Distribution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Analytical calculation of the expected exposure (EPE) and potential future exposure (PFE) for a normal distribution.</a:t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12</xdr:col>
      <xdr:colOff>133350</xdr:colOff>
      <xdr:row>5</xdr:row>
      <xdr:rowOff>66675</xdr:rowOff>
    </xdr:to>
    <xdr:sp macro="" textlink="">
      <xdr:nvSpPr>
        <xdr:cNvPr id="1027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448425" y="438150"/>
          <a:ext cx="2228850" cy="438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3</xdr:col>
      <xdr:colOff>220980</xdr:colOff>
      <xdr:row>7</xdr:row>
      <xdr:rowOff>83820</xdr:rowOff>
    </xdr:from>
    <xdr:to>
      <xdr:col>10</xdr:col>
      <xdr:colOff>525780</xdr:colOff>
      <xdr:row>23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541020</xdr:colOff>
      <xdr:row>7</xdr:row>
      <xdr:rowOff>83820</xdr:rowOff>
    </xdr:from>
    <xdr:to>
      <xdr:col>18</xdr:col>
      <xdr:colOff>236220</xdr:colOff>
      <xdr:row>23</xdr:row>
      <xdr:rowOff>99060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15287</xdr:rowOff>
    </xdr:from>
    <xdr:to>
      <xdr:col>8</xdr:col>
      <xdr:colOff>428625</xdr:colOff>
      <xdr:row>6</xdr:row>
      <xdr:rowOff>161878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5287"/>
          <a:ext cx="6989445" cy="1152431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Simple Cross-Currency Swap Profile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illustration of the EPE of a cross-currency swap as a combination of an interest rate swap and FX forward. This is a simple example only and the real case would depend on the precise transaction details (e.g. fixed-fixed, floating-floating)</a:t>
          </a:r>
        </a:p>
      </xdr:txBody>
    </xdr:sp>
    <xdr:clientData/>
  </xdr:twoCellAnchor>
  <xdr:twoCellAnchor>
    <xdr:from>
      <xdr:col>8</xdr:col>
      <xdr:colOff>523875</xdr:colOff>
      <xdr:row>2</xdr:row>
      <xdr:rowOff>57150</xdr:rowOff>
    </xdr:from>
    <xdr:to>
      <xdr:col>12</xdr:col>
      <xdr:colOff>314325</xdr:colOff>
      <xdr:row>5</xdr:row>
      <xdr:rowOff>9525</xdr:rowOff>
    </xdr:to>
    <xdr:sp macro="" textlink="">
      <xdr:nvSpPr>
        <xdr:cNvPr id="3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334125" y="381000"/>
          <a:ext cx="2228850" cy="438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6</xdr:col>
      <xdr:colOff>533400</xdr:colOff>
      <xdr:row>10</xdr:row>
      <xdr:rowOff>76200</xdr:rowOff>
    </xdr:from>
    <xdr:to>
      <xdr:col>14</xdr:col>
      <xdr:colOff>228600</xdr:colOff>
      <xdr:row>26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66675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5476875" cy="1123950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Single-Name CDS Example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Illustration of PFE calculation for a single name CDS</a:t>
          </a:r>
        </a:p>
      </xdr:txBody>
    </xdr:sp>
    <xdr:clientData/>
  </xdr:twoCellAnchor>
  <xdr:twoCellAnchor>
    <xdr:from>
      <xdr:col>8</xdr:col>
      <xdr:colOff>209550</xdr:colOff>
      <xdr:row>2</xdr:row>
      <xdr:rowOff>114300</xdr:rowOff>
    </xdr:from>
    <xdr:to>
      <xdr:col>12</xdr:col>
      <xdr:colOff>0</xdr:colOff>
      <xdr:row>5</xdr:row>
      <xdr:rowOff>66675</xdr:rowOff>
    </xdr:to>
    <xdr:sp macro="" textlink="">
      <xdr:nvSpPr>
        <xdr:cNvPr id="3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619750" y="438150"/>
          <a:ext cx="2228850" cy="438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16</xdr:col>
      <xdr:colOff>569595</xdr:colOff>
      <xdr:row>9</xdr:row>
      <xdr:rowOff>114300</xdr:rowOff>
    </xdr:from>
    <xdr:to>
      <xdr:col>24</xdr:col>
      <xdr:colOff>264795</xdr:colOff>
      <xdr:row>26</xdr:row>
      <xdr:rowOff>76200</xdr:rowOff>
    </xdr:to>
    <xdr:graphicFrame macro="">
      <xdr:nvGraphicFramePr>
        <xdr:cNvPr id="203807" name="Chart 5">
          <a:extLst>
            <a:ext uri="{FF2B5EF4-FFF2-40B4-BE49-F238E27FC236}">
              <a16:creationId xmlns:a16="http://schemas.microsoft.com/office/drawing/2014/main" id="{00000000-0008-0000-0300-00001F1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342900</xdr:colOff>
      <xdr:row>8</xdr:row>
      <xdr:rowOff>30480</xdr:rowOff>
    </xdr:from>
    <xdr:to>
      <xdr:col>12</xdr:col>
      <xdr:colOff>99060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12</xdr:col>
      <xdr:colOff>106680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8328660" cy="1163955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Simple Two Transaction Example of Netting Effects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example of the impact of netting </a:t>
          </a:r>
        </a:p>
      </xdr:txBody>
    </xdr:sp>
    <xdr:clientData/>
  </xdr:twoCellAnchor>
  <xdr:twoCellAnchor>
    <xdr:from>
      <xdr:col>12</xdr:col>
      <xdr:colOff>300990</xdr:colOff>
      <xdr:row>2</xdr:row>
      <xdr:rowOff>45720</xdr:rowOff>
    </xdr:from>
    <xdr:to>
      <xdr:col>15</xdr:col>
      <xdr:colOff>220980</xdr:colOff>
      <xdr:row>4</xdr:row>
      <xdr:rowOff>165735</xdr:rowOff>
    </xdr:to>
    <xdr:sp macro="" textlink="">
      <xdr:nvSpPr>
        <xdr:cNvPr id="3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522970" y="381000"/>
          <a:ext cx="1748790" cy="45529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15</xdr:col>
      <xdr:colOff>53340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10104120" cy="1163955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Impact of Variation and Initial Margin on Exposure and Funding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calculation of credit exposure and funding position in the presence of variation margin and (segregated or non-segregated) initial margin</a:t>
          </a:r>
        </a:p>
      </xdr:txBody>
    </xdr:sp>
    <xdr:clientData/>
  </xdr:twoCellAnchor>
  <xdr:twoCellAnchor>
    <xdr:from>
      <xdr:col>15</xdr:col>
      <xdr:colOff>293370</xdr:colOff>
      <xdr:row>3</xdr:row>
      <xdr:rowOff>137160</xdr:rowOff>
    </xdr:from>
    <xdr:to>
      <xdr:col>18</xdr:col>
      <xdr:colOff>213360</xdr:colOff>
      <xdr:row>6</xdr:row>
      <xdr:rowOff>89535</xdr:rowOff>
    </xdr:to>
    <xdr:sp macro="" textlink="">
      <xdr:nvSpPr>
        <xdr:cNvPr id="3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344150" y="640080"/>
          <a:ext cx="1748790" cy="45529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10</xdr:row>
          <xdr:rowOff>121920</xdr:rowOff>
        </xdr:from>
        <xdr:to>
          <xdr:col>3</xdr:col>
          <xdr:colOff>891540</xdr:colOff>
          <xdr:row>12</xdr:row>
          <xdr:rowOff>22860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Segregated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11</xdr:row>
          <xdr:rowOff>144780</xdr:rowOff>
        </xdr:from>
        <xdr:to>
          <xdr:col>3</xdr:col>
          <xdr:colOff>891540</xdr:colOff>
          <xdr:row>13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5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Segregated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8E00-FBE5-4FAF-8249-7622682EB290}">
  <sheetPr codeName="Sheet7"/>
  <dimension ref="A1:P98"/>
  <sheetViews>
    <sheetView showGridLines="0" workbookViewId="0">
      <pane ySplit="6" topLeftCell="A7" activePane="bottomLeft" state="frozen"/>
      <selection pane="bottomLeft" activeCell="D15" sqref="D15"/>
    </sheetView>
  </sheetViews>
  <sheetFormatPr defaultRowHeight="13.2" x14ac:dyDescent="0.25"/>
  <cols>
    <col min="2" max="2" width="11.44140625" bestFit="1" customWidth="1"/>
    <col min="3" max="3" width="14.21875" bestFit="1" customWidth="1"/>
    <col min="4" max="4" width="8.6640625" bestFit="1" customWidth="1"/>
    <col min="5" max="5" width="12.21875" customWidth="1"/>
    <col min="6" max="6" width="10.5546875" customWidth="1"/>
    <col min="7" max="7" width="15.109375" bestFit="1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6" ht="13.8" thickBot="1" x14ac:dyDescent="0.3">
      <c r="A8" s="16"/>
      <c r="B8" s="16"/>
      <c r="C8" s="16"/>
      <c r="D8" s="16"/>
      <c r="E8" s="16"/>
      <c r="F8" s="16"/>
      <c r="G8" s="16"/>
      <c r="H8" s="16"/>
    </row>
    <row r="9" spans="1:16" ht="14.4" customHeight="1" thickBot="1" x14ac:dyDescent="0.3">
      <c r="A9" s="16"/>
      <c r="B9" s="114" t="s">
        <v>31</v>
      </c>
      <c r="C9" s="115"/>
      <c r="D9" s="16"/>
      <c r="E9" s="114" t="s">
        <v>31</v>
      </c>
      <c r="F9" s="115"/>
      <c r="G9" s="16"/>
      <c r="H9" s="16"/>
    </row>
    <row r="10" spans="1:16" ht="14.4" customHeight="1" x14ac:dyDescent="0.25">
      <c r="A10" s="16"/>
      <c r="B10" s="32" t="s">
        <v>24</v>
      </c>
      <c r="C10" s="54">
        <v>70</v>
      </c>
      <c r="D10" s="31"/>
      <c r="E10" s="45" t="s">
        <v>24</v>
      </c>
      <c r="F10" s="53">
        <v>55</v>
      </c>
      <c r="G10" s="16"/>
      <c r="H10" s="16"/>
    </row>
    <row r="11" spans="1:16" ht="14.4" customHeight="1" x14ac:dyDescent="0.25">
      <c r="A11" s="16"/>
      <c r="B11" s="32" t="s">
        <v>25</v>
      </c>
      <c r="C11" s="54">
        <v>50</v>
      </c>
      <c r="D11" s="16"/>
      <c r="E11" s="32" t="s">
        <v>25</v>
      </c>
      <c r="F11" s="54">
        <v>50</v>
      </c>
      <c r="G11" s="16"/>
      <c r="H11" s="16"/>
    </row>
    <row r="12" spans="1:16" ht="14.4" customHeight="1" x14ac:dyDescent="0.25">
      <c r="A12" s="16"/>
      <c r="B12" s="32" t="s">
        <v>26</v>
      </c>
      <c r="C12" s="54">
        <v>30</v>
      </c>
      <c r="D12" s="16"/>
      <c r="E12" s="32" t="s">
        <v>26</v>
      </c>
      <c r="F12" s="54">
        <v>-30</v>
      </c>
      <c r="G12" s="16"/>
      <c r="H12" s="16"/>
    </row>
    <row r="13" spans="1:16" ht="14.4" customHeight="1" x14ac:dyDescent="0.25">
      <c r="A13" s="16"/>
      <c r="B13" s="32" t="s">
        <v>27</v>
      </c>
      <c r="C13" s="54">
        <v>-10</v>
      </c>
      <c r="D13" s="16"/>
      <c r="E13" s="32" t="s">
        <v>27</v>
      </c>
      <c r="F13" s="54">
        <v>-10</v>
      </c>
      <c r="G13" s="16"/>
      <c r="H13" s="16"/>
    </row>
    <row r="14" spans="1:16" ht="14.4" customHeight="1" x14ac:dyDescent="0.25">
      <c r="A14" s="16"/>
      <c r="B14" s="32" t="s">
        <v>28</v>
      </c>
      <c r="C14" s="54">
        <v>-30</v>
      </c>
      <c r="D14" s="16"/>
      <c r="E14" s="32" t="s">
        <v>28</v>
      </c>
      <c r="F14" s="54">
        <v>-30</v>
      </c>
      <c r="G14" s="16"/>
      <c r="H14" s="16"/>
    </row>
    <row r="15" spans="1:16" ht="14.4" customHeight="1" x14ac:dyDescent="0.25">
      <c r="A15" s="16"/>
      <c r="B15" s="49" t="s">
        <v>32</v>
      </c>
      <c r="C15" s="89">
        <f>SUM(C10:C14)/5</f>
        <v>22</v>
      </c>
      <c r="D15" s="16"/>
      <c r="E15" s="32" t="s">
        <v>34</v>
      </c>
      <c r="F15" s="55">
        <v>25</v>
      </c>
      <c r="G15" s="16"/>
      <c r="H15" s="16"/>
    </row>
    <row r="16" spans="1:16" ht="14.4" customHeight="1" x14ac:dyDescent="0.25">
      <c r="A16" s="16"/>
      <c r="B16" s="32" t="s">
        <v>13</v>
      </c>
      <c r="C16" s="36">
        <f>SMALL(C10:C14,90%*5)</f>
        <v>50</v>
      </c>
      <c r="D16" s="16"/>
      <c r="E16" s="32" t="s">
        <v>35</v>
      </c>
      <c r="F16" s="55">
        <v>-35</v>
      </c>
      <c r="G16" s="16"/>
      <c r="H16" s="16"/>
    </row>
    <row r="17" spans="1:13" ht="14.4" customHeight="1" x14ac:dyDescent="0.25">
      <c r="A17" s="16"/>
      <c r="B17" s="32" t="s">
        <v>6</v>
      </c>
      <c r="C17" s="36">
        <f>SUMIF(C10:C14,"&gt;0")/5</f>
        <v>30</v>
      </c>
      <c r="D17" s="16"/>
      <c r="E17" s="32" t="s">
        <v>36</v>
      </c>
      <c r="F17" s="55">
        <v>-30</v>
      </c>
      <c r="G17" s="16"/>
      <c r="H17" s="16"/>
    </row>
    <row r="18" spans="1:13" ht="14.4" customHeight="1" thickBot="1" x14ac:dyDescent="0.3">
      <c r="A18" s="16"/>
      <c r="B18" s="40" t="s">
        <v>33</v>
      </c>
      <c r="C18" s="90">
        <f>SUMIF(C10:C14,"&lt;0")/5</f>
        <v>-8</v>
      </c>
      <c r="D18" s="16"/>
      <c r="E18" s="32" t="s">
        <v>37</v>
      </c>
      <c r="F18" s="55">
        <v>-20</v>
      </c>
      <c r="G18" s="16"/>
      <c r="H18" s="16"/>
    </row>
    <row r="19" spans="1:13" x14ac:dyDescent="0.25">
      <c r="A19" s="16"/>
      <c r="B19" s="43"/>
      <c r="C19" s="43"/>
      <c r="D19" s="16"/>
      <c r="E19" s="32" t="s">
        <v>38</v>
      </c>
      <c r="F19" s="56">
        <v>5</v>
      </c>
      <c r="G19" s="16"/>
      <c r="H19" s="16"/>
    </row>
    <row r="20" spans="1:13" x14ac:dyDescent="0.25">
      <c r="A20" s="16"/>
      <c r="B20" s="43"/>
      <c r="C20" s="43"/>
      <c r="D20" s="43"/>
      <c r="E20" s="49" t="s">
        <v>32</v>
      </c>
      <c r="F20" s="89">
        <f>AVERAGE(F10:F19)</f>
        <v>-2</v>
      </c>
      <c r="G20" s="44"/>
      <c r="H20" s="16"/>
      <c r="I20" s="16"/>
      <c r="J20" s="16"/>
      <c r="K20" s="16"/>
      <c r="L20" s="16"/>
      <c r="M20" s="16"/>
    </row>
    <row r="21" spans="1:13" x14ac:dyDescent="0.25">
      <c r="A21" s="16"/>
      <c r="B21" s="43"/>
      <c r="C21" s="43"/>
      <c r="D21" s="43"/>
      <c r="E21" s="32" t="s">
        <v>13</v>
      </c>
      <c r="F21" s="36">
        <f>SMALL(F10:F19,90%*10)</f>
        <v>50</v>
      </c>
      <c r="G21" s="44"/>
      <c r="H21" s="16"/>
      <c r="I21" s="16"/>
      <c r="J21" s="16"/>
      <c r="K21" s="16"/>
      <c r="L21" s="16"/>
      <c r="M21" s="16"/>
    </row>
    <row r="22" spans="1:13" x14ac:dyDescent="0.25">
      <c r="A22" s="16"/>
      <c r="B22" s="43"/>
      <c r="C22" s="43"/>
      <c r="D22" s="43"/>
      <c r="E22" s="32" t="s">
        <v>6</v>
      </c>
      <c r="F22" s="36">
        <f>SUMIF(F10:F19,"&gt;0")/10</f>
        <v>13.5</v>
      </c>
      <c r="G22" s="44"/>
      <c r="H22" s="16"/>
      <c r="I22" s="16"/>
      <c r="J22" s="16"/>
      <c r="K22" s="16"/>
      <c r="L22" s="16"/>
      <c r="M22" s="16"/>
    </row>
    <row r="23" spans="1:13" ht="13.8" thickBot="1" x14ac:dyDescent="0.3">
      <c r="A23" s="16"/>
      <c r="B23" s="43"/>
      <c r="C23" s="43"/>
      <c r="D23" s="43"/>
      <c r="E23" s="40" t="s">
        <v>33</v>
      </c>
      <c r="F23" s="90">
        <f>SUMIF(F10:F19,"&lt;0")/10</f>
        <v>-15.5</v>
      </c>
      <c r="G23" s="44"/>
      <c r="H23" s="16"/>
      <c r="I23" s="16"/>
      <c r="J23" s="16"/>
      <c r="K23" s="16"/>
      <c r="L23" s="16"/>
      <c r="M23" s="16"/>
    </row>
    <row r="24" spans="1:13" x14ac:dyDescent="0.25">
      <c r="A24" s="16"/>
      <c r="B24" s="43"/>
      <c r="C24" s="43"/>
      <c r="D24" s="43"/>
      <c r="E24" s="43"/>
      <c r="F24" s="43"/>
      <c r="G24" s="44"/>
      <c r="H24" s="16"/>
      <c r="I24" s="16"/>
      <c r="J24" s="16"/>
      <c r="K24" s="16"/>
      <c r="L24" s="16"/>
      <c r="M24" s="16"/>
    </row>
    <row r="25" spans="1:13" x14ac:dyDescent="0.25">
      <c r="A25" s="16"/>
      <c r="B25" s="43"/>
      <c r="C25" s="43"/>
      <c r="D25" s="43"/>
      <c r="E25" s="43"/>
      <c r="F25" s="43"/>
      <c r="G25" s="19"/>
      <c r="H25" s="16"/>
      <c r="I25" s="16"/>
      <c r="J25" s="16"/>
      <c r="K25" s="16"/>
      <c r="L25" s="16"/>
      <c r="M25" s="16"/>
    </row>
    <row r="26" spans="1:13" x14ac:dyDescent="0.25">
      <c r="B26" s="6"/>
      <c r="C26" s="6"/>
      <c r="D26" s="6"/>
      <c r="E26" s="6"/>
      <c r="F26" s="6"/>
      <c r="G26" s="3"/>
    </row>
    <row r="27" spans="1:13" x14ac:dyDescent="0.25">
      <c r="B27" s="6"/>
      <c r="C27" s="6"/>
      <c r="D27" s="6"/>
      <c r="E27" s="6"/>
      <c r="F27" s="6"/>
      <c r="G27" s="3"/>
    </row>
    <row r="28" spans="1:13" x14ac:dyDescent="0.25">
      <c r="B28" s="6"/>
      <c r="C28" s="6"/>
      <c r="D28" s="6"/>
      <c r="E28" s="6"/>
      <c r="F28" s="6"/>
      <c r="G28" s="3"/>
    </row>
    <row r="29" spans="1:13" x14ac:dyDescent="0.25">
      <c r="B29" s="6"/>
      <c r="C29" s="6"/>
      <c r="D29" s="6"/>
      <c r="E29" s="6"/>
      <c r="F29" s="6"/>
      <c r="G29" s="3"/>
    </row>
    <row r="30" spans="1:13" x14ac:dyDescent="0.25">
      <c r="B30" s="6"/>
      <c r="C30" s="6"/>
      <c r="D30" s="6"/>
      <c r="E30" s="6"/>
      <c r="F30" s="6"/>
      <c r="G30" s="3"/>
    </row>
    <row r="31" spans="1:13" x14ac:dyDescent="0.25">
      <c r="B31" s="6"/>
      <c r="C31" s="6"/>
      <c r="D31" s="6"/>
      <c r="E31" s="6"/>
      <c r="F31" s="6"/>
      <c r="G31" s="3"/>
    </row>
    <row r="32" spans="1:13" x14ac:dyDescent="0.25">
      <c r="B32" s="6"/>
      <c r="C32" s="6"/>
      <c r="D32" s="6"/>
      <c r="E32" s="6"/>
      <c r="F32" s="6"/>
      <c r="G32" s="3"/>
    </row>
    <row r="33" spans="2:7" x14ac:dyDescent="0.25">
      <c r="B33" s="6"/>
      <c r="C33" s="6"/>
      <c r="D33" s="6"/>
      <c r="E33" s="6"/>
      <c r="F33" s="6"/>
      <c r="G33" s="3"/>
    </row>
    <row r="34" spans="2:7" x14ac:dyDescent="0.25">
      <c r="B34" s="6"/>
      <c r="C34" s="6"/>
      <c r="D34" s="6"/>
      <c r="E34" s="6"/>
      <c r="F34" s="6"/>
      <c r="G34" s="3"/>
    </row>
    <row r="35" spans="2:7" x14ac:dyDescent="0.25">
      <c r="B35" s="6"/>
      <c r="C35" s="6"/>
      <c r="D35" s="6"/>
      <c r="E35" s="6"/>
      <c r="F35" s="6"/>
      <c r="G35" s="3"/>
    </row>
    <row r="36" spans="2:7" x14ac:dyDescent="0.25">
      <c r="G36" s="3"/>
    </row>
    <row r="37" spans="2:7" x14ac:dyDescent="0.25">
      <c r="G37" s="3"/>
    </row>
    <row r="38" spans="2:7" x14ac:dyDescent="0.25">
      <c r="G38" s="3"/>
    </row>
    <row r="39" spans="2:7" x14ac:dyDescent="0.25">
      <c r="G39" s="3"/>
    </row>
    <row r="40" spans="2:7" x14ac:dyDescent="0.25">
      <c r="G40" s="3"/>
    </row>
    <row r="41" spans="2:7" x14ac:dyDescent="0.25">
      <c r="G41" s="3"/>
    </row>
    <row r="42" spans="2:7" x14ac:dyDescent="0.25">
      <c r="G42" s="3"/>
    </row>
    <row r="43" spans="2:7" x14ac:dyDescent="0.25">
      <c r="G43" s="3"/>
    </row>
    <row r="44" spans="2:7" x14ac:dyDescent="0.25">
      <c r="G44" s="3"/>
    </row>
    <row r="45" spans="2:7" x14ac:dyDescent="0.25">
      <c r="G45" s="3"/>
    </row>
    <row r="46" spans="2:7" x14ac:dyDescent="0.25">
      <c r="G46" s="3"/>
    </row>
    <row r="47" spans="2:7" x14ac:dyDescent="0.25">
      <c r="G47" s="3"/>
    </row>
    <row r="48" spans="2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</sheetData>
  <mergeCells count="2">
    <mergeCell ref="E9:F9"/>
    <mergeCell ref="B9:C9"/>
  </mergeCell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9"/>
  <sheetViews>
    <sheetView showGridLines="0" workbookViewId="0">
      <pane ySplit="6" topLeftCell="A7" activePane="bottomLeft" state="frozen"/>
      <selection pane="bottomLeft" activeCell="C19" sqref="C19"/>
    </sheetView>
  </sheetViews>
  <sheetFormatPr defaultRowHeight="13.2" x14ac:dyDescent="0.25"/>
  <cols>
    <col min="2" max="2" width="32.21875" bestFit="1" customWidth="1"/>
    <col min="3" max="3" width="9.664062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8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6" ht="13.8" thickBot="1" x14ac:dyDescent="0.3">
      <c r="A9" s="16"/>
      <c r="B9" s="116" t="s">
        <v>0</v>
      </c>
      <c r="C9" s="117"/>
      <c r="D9" s="16"/>
      <c r="E9" s="16"/>
      <c r="F9" s="16"/>
      <c r="G9" s="16" t="s">
        <v>5</v>
      </c>
      <c r="H9" s="16"/>
      <c r="I9" s="16"/>
      <c r="J9" s="16"/>
      <c r="K9" s="16"/>
    </row>
    <row r="10" spans="1:16" x14ac:dyDescent="0.25">
      <c r="A10" s="16"/>
      <c r="B10" s="17" t="s">
        <v>2</v>
      </c>
      <c r="C10" s="91">
        <v>5</v>
      </c>
      <c r="D10" s="16"/>
      <c r="E10" s="16"/>
      <c r="F10" s="18">
        <f ca="1">Mu-Sigma*4</f>
        <v>-35</v>
      </c>
      <c r="G10" s="19">
        <f t="shared" ref="G10:G41" ca="1" si="0">NORMDIST(F10,Mu,Sigma,FALSE)</f>
        <v>1.3383022576488536E-5</v>
      </c>
      <c r="H10" s="20">
        <f ca="1">EPE</f>
        <v>6.9779655740130604</v>
      </c>
      <c r="I10" s="20">
        <f ca="1">ENE</f>
        <v>-1.9779655740130608</v>
      </c>
      <c r="J10" s="20">
        <v>0</v>
      </c>
      <c r="K10" s="20">
        <f ca="1">Mu</f>
        <v>5</v>
      </c>
      <c r="L10">
        <f ca="1">PFEhigh</f>
        <v>28.263478740408409</v>
      </c>
      <c r="M10">
        <f ca="1">PFElow</f>
        <v>-18.263478740408409</v>
      </c>
    </row>
    <row r="11" spans="1:16" x14ac:dyDescent="0.25">
      <c r="A11" s="16"/>
      <c r="B11" s="21" t="s">
        <v>3</v>
      </c>
      <c r="C11" s="92">
        <v>10</v>
      </c>
      <c r="D11" s="16"/>
      <c r="E11" s="16"/>
      <c r="F11" s="18">
        <f t="shared" ref="F11:F42" ca="1" si="1">F10+Sigma/10</f>
        <v>-34</v>
      </c>
      <c r="G11" s="19">
        <f t="shared" ca="1" si="0"/>
        <v>1.9865547139277272E-5</v>
      </c>
      <c r="H11" s="20">
        <f ca="1">H10</f>
        <v>6.9779655740130604</v>
      </c>
      <c r="I11" s="20">
        <f ca="1">I10</f>
        <v>-1.9779655740130608</v>
      </c>
      <c r="J11" s="20">
        <f ca="1">MAX(G10:G95)</f>
        <v>3.9894228040143274E-2</v>
      </c>
      <c r="K11" s="20">
        <f ca="1">K10</f>
        <v>5</v>
      </c>
      <c r="L11">
        <f ca="1">L10</f>
        <v>28.263478740408409</v>
      </c>
      <c r="M11" s="20">
        <f ca="1">M10</f>
        <v>-18.263478740408409</v>
      </c>
    </row>
    <row r="12" spans="1:16" ht="13.8" thickBot="1" x14ac:dyDescent="0.3">
      <c r="A12" s="16"/>
      <c r="B12" s="22" t="s">
        <v>4</v>
      </c>
      <c r="C12" s="93">
        <v>0.99</v>
      </c>
      <c r="D12" s="16"/>
      <c r="E12" s="16"/>
      <c r="F12" s="18">
        <f t="shared" ca="1" si="1"/>
        <v>-33</v>
      </c>
      <c r="G12" s="19">
        <f t="shared" ca="1" si="0"/>
        <v>2.9194692579146026E-5</v>
      </c>
      <c r="H12" s="16"/>
      <c r="I12" s="16"/>
      <c r="J12" s="16"/>
      <c r="K12" s="16"/>
    </row>
    <row r="13" spans="1:16" ht="13.8" thickBot="1" x14ac:dyDescent="0.3">
      <c r="A13" s="16"/>
      <c r="B13" s="16"/>
      <c r="C13" s="16"/>
      <c r="D13" s="16"/>
      <c r="E13" s="16"/>
      <c r="F13" s="18">
        <f t="shared" ca="1" si="1"/>
        <v>-32</v>
      </c>
      <c r="G13" s="19">
        <f t="shared" ca="1" si="0"/>
        <v>4.2478027055075142E-5</v>
      </c>
      <c r="H13" s="16"/>
      <c r="I13" s="16"/>
      <c r="J13" s="16"/>
      <c r="K13" s="16"/>
    </row>
    <row r="14" spans="1:16" ht="13.8" thickBot="1" x14ac:dyDescent="0.3">
      <c r="A14" s="16"/>
      <c r="B14" s="118" t="s">
        <v>1</v>
      </c>
      <c r="C14" s="119"/>
      <c r="D14" s="16"/>
      <c r="E14" s="16"/>
      <c r="F14" s="18">
        <f t="shared" ca="1" si="1"/>
        <v>-31</v>
      </c>
      <c r="G14" s="19">
        <f t="shared" ca="1" si="0"/>
        <v>6.1190193011377187E-5</v>
      </c>
      <c r="H14" s="16"/>
      <c r="I14" s="16"/>
      <c r="J14" s="16"/>
      <c r="K14" s="16"/>
    </row>
    <row r="15" spans="1:16" x14ac:dyDescent="0.25">
      <c r="A15" s="16"/>
      <c r="B15" s="17" t="s">
        <v>29</v>
      </c>
      <c r="C15" s="27">
        <f ca="1">Mu*NORMSDIST(Mu/Sigma)+Sigma*NORMDIST(Mu/Sigma,0,1,FALSE)</f>
        <v>6.9779655740130604</v>
      </c>
      <c r="E15" s="16"/>
      <c r="F15" s="18">
        <f t="shared" ca="1" si="1"/>
        <v>-30</v>
      </c>
      <c r="G15" s="19">
        <f t="shared" ca="1" si="0"/>
        <v>8.726826950457601E-5</v>
      </c>
      <c r="H15" s="16"/>
      <c r="I15" s="16"/>
      <c r="J15" s="16"/>
      <c r="K15" s="16"/>
    </row>
    <row r="16" spans="1:16" x14ac:dyDescent="0.25">
      <c r="A16" s="16"/>
      <c r="B16" s="21" t="s">
        <v>30</v>
      </c>
      <c r="C16" s="23">
        <f ca="1">Mu*NORMSDIST(-Mu/Sigma)-Sigma*NORMDIST(-Mu/Sigma,0,1,FALSE)</f>
        <v>-1.9779655740130608</v>
      </c>
      <c r="D16" s="16"/>
      <c r="E16" s="16"/>
      <c r="F16" s="18">
        <f t="shared" ca="1" si="1"/>
        <v>-29</v>
      </c>
      <c r="G16" s="19">
        <f t="shared" ca="1" si="0"/>
        <v>1.2322191684730198E-4</v>
      </c>
      <c r="H16" s="16"/>
      <c r="I16" s="16"/>
      <c r="J16" s="16"/>
      <c r="K16" s="16"/>
    </row>
    <row r="17" spans="1:11" x14ac:dyDescent="0.25">
      <c r="A17" s="16"/>
      <c r="B17" s="21" t="str">
        <f ca="1">"PFE "&amp;TEXT(Alpha,"0%")</f>
        <v>PFE 99%</v>
      </c>
      <c r="C17" s="23">
        <f ca="1">Mu+NORMSINV(Alpha)*Sigma</f>
        <v>28.263478740408409</v>
      </c>
      <c r="E17" s="16"/>
      <c r="F17" s="18">
        <f t="shared" ca="1" si="1"/>
        <v>-28</v>
      </c>
      <c r="G17" s="19">
        <f t="shared" ca="1" si="0"/>
        <v>1.722568939053681E-4</v>
      </c>
      <c r="H17" s="16"/>
      <c r="I17" s="16"/>
      <c r="J17" s="16"/>
      <c r="K17" s="16"/>
    </row>
    <row r="18" spans="1:11" ht="13.8" thickBot="1" x14ac:dyDescent="0.3">
      <c r="A18" s="16"/>
      <c r="B18" s="26" t="str">
        <f ca="1">"PFE "&amp;TEXT(1-Alpha,"0%")</f>
        <v>PFE 1%</v>
      </c>
      <c r="C18" s="24">
        <f ca="1">Mu-NORMSINV(Alpha)*Sigma</f>
        <v>-18.263478740408409</v>
      </c>
      <c r="D18" s="16"/>
      <c r="E18" s="16"/>
      <c r="F18" s="18">
        <f t="shared" ca="1" si="1"/>
        <v>-27</v>
      </c>
      <c r="G18" s="19">
        <f t="shared" ca="1" si="0"/>
        <v>2.3840882014648405E-4</v>
      </c>
      <c r="H18" s="16"/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8">
        <f t="shared" ca="1" si="1"/>
        <v>-26</v>
      </c>
      <c r="G19" s="19">
        <f t="shared" ca="1" si="0"/>
        <v>3.2668190561999186E-4</v>
      </c>
      <c r="H19" s="16"/>
      <c r="I19" s="16"/>
      <c r="J19" s="16"/>
      <c r="K19" s="16"/>
    </row>
    <row r="20" spans="1:11" x14ac:dyDescent="0.25">
      <c r="A20" s="16"/>
      <c r="B20" s="16"/>
      <c r="C20" s="16"/>
      <c r="D20" s="16"/>
      <c r="E20" s="16"/>
      <c r="F20" s="18">
        <f t="shared" ca="1" si="1"/>
        <v>-25</v>
      </c>
      <c r="G20" s="19">
        <f t="shared" ca="1" si="0"/>
        <v>4.4318484119380076E-4</v>
      </c>
      <c r="H20" s="16"/>
      <c r="I20" s="16"/>
      <c r="J20" s="16"/>
      <c r="K20" s="16"/>
    </row>
    <row r="21" spans="1:11" x14ac:dyDescent="0.25">
      <c r="A21" s="16"/>
      <c r="B21" s="16"/>
      <c r="C21" s="16"/>
      <c r="D21" s="16"/>
      <c r="E21" s="16"/>
      <c r="F21" s="18">
        <f t="shared" ca="1" si="1"/>
        <v>-24</v>
      </c>
      <c r="G21" s="19">
        <f t="shared" ca="1" si="0"/>
        <v>5.9525324197758534E-4</v>
      </c>
      <c r="H21" s="16"/>
      <c r="I21" s="16"/>
      <c r="J21" s="16"/>
      <c r="K21" s="16"/>
    </row>
    <row r="22" spans="1:11" x14ac:dyDescent="0.25">
      <c r="A22" s="16"/>
      <c r="B22" s="16"/>
      <c r="C22" s="16"/>
      <c r="D22" s="16"/>
      <c r="E22" s="16"/>
      <c r="F22" s="18">
        <f t="shared" ca="1" si="1"/>
        <v>-23</v>
      </c>
      <c r="G22" s="19">
        <f t="shared" ca="1" si="0"/>
        <v>7.9154515829799694E-4</v>
      </c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8">
        <f t="shared" ca="1" si="1"/>
        <v>-22</v>
      </c>
      <c r="G23" s="19">
        <f t="shared" ca="1" si="0"/>
        <v>1.0420934814422591E-3</v>
      </c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8">
        <f t="shared" ca="1" si="1"/>
        <v>-21</v>
      </c>
      <c r="G24" s="19">
        <f t="shared" ca="1" si="0"/>
        <v>1.3582969233685612E-3</v>
      </c>
      <c r="H24" s="16"/>
      <c r="I24" s="16"/>
      <c r="J24" s="16"/>
      <c r="K24" s="16"/>
    </row>
    <row r="25" spans="1:11" x14ac:dyDescent="0.25">
      <c r="A25" s="16"/>
      <c r="B25" s="16"/>
      <c r="C25" s="16"/>
      <c r="D25" s="16"/>
      <c r="E25" s="16"/>
      <c r="F25" s="18">
        <f t="shared" ca="1" si="1"/>
        <v>-20</v>
      </c>
      <c r="G25" s="19">
        <f t="shared" ca="1" si="0"/>
        <v>1.752830049356854E-3</v>
      </c>
      <c r="H25" s="16"/>
      <c r="I25" s="16"/>
      <c r="J25" s="16"/>
      <c r="K25" s="16"/>
    </row>
    <row r="26" spans="1:11" x14ac:dyDescent="0.25">
      <c r="A26" s="16"/>
      <c r="B26" s="16"/>
      <c r="C26" s="16"/>
      <c r="D26" s="16"/>
      <c r="E26" s="16"/>
      <c r="F26" s="18">
        <f t="shared" ca="1" si="1"/>
        <v>-19</v>
      </c>
      <c r="G26" s="19">
        <f t="shared" ca="1" si="0"/>
        <v>2.2394530294842902E-3</v>
      </c>
      <c r="H26" s="16"/>
      <c r="I26" s="16"/>
      <c r="J26" s="16"/>
      <c r="K26" s="16"/>
    </row>
    <row r="27" spans="1:11" x14ac:dyDescent="0.25">
      <c r="A27" s="16"/>
      <c r="B27" s="16"/>
      <c r="C27" s="16"/>
      <c r="D27" s="16"/>
      <c r="E27" s="16"/>
      <c r="F27" s="18">
        <f t="shared" ca="1" si="1"/>
        <v>-18</v>
      </c>
      <c r="G27" s="19">
        <f t="shared" ca="1" si="0"/>
        <v>2.8327037741601186E-3</v>
      </c>
      <c r="H27" s="16"/>
      <c r="I27" s="16"/>
      <c r="J27" s="16"/>
      <c r="K27" s="16"/>
    </row>
    <row r="28" spans="1:11" x14ac:dyDescent="0.25">
      <c r="A28" s="16"/>
      <c r="B28" s="16"/>
      <c r="C28" s="16"/>
      <c r="D28" s="16"/>
      <c r="E28" s="16"/>
      <c r="F28" s="18">
        <f t="shared" ca="1" si="1"/>
        <v>-17</v>
      </c>
      <c r="G28" s="19">
        <f t="shared" ca="1" si="0"/>
        <v>3.5474592846231421E-3</v>
      </c>
      <c r="H28" s="16"/>
      <c r="I28" s="16"/>
      <c r="J28" s="16"/>
      <c r="K28" s="16"/>
    </row>
    <row r="29" spans="1:11" x14ac:dyDescent="0.25">
      <c r="A29" s="16"/>
      <c r="B29" s="16"/>
      <c r="C29" s="16"/>
      <c r="D29" s="16"/>
      <c r="E29" s="16"/>
      <c r="F29" s="18">
        <f t="shared" ca="1" si="1"/>
        <v>-16</v>
      </c>
      <c r="G29" s="19">
        <f t="shared" ca="1" si="0"/>
        <v>4.3983595980427196E-3</v>
      </c>
      <c r="H29" s="16"/>
      <c r="I29" s="16"/>
      <c r="J29" s="16"/>
      <c r="K29" s="16"/>
    </row>
    <row r="30" spans="1:11" x14ac:dyDescent="0.25">
      <c r="A30" s="16"/>
      <c r="B30" s="16"/>
      <c r="C30" s="16"/>
      <c r="D30" s="16"/>
      <c r="E30" s="16"/>
      <c r="F30" s="18">
        <f t="shared" ca="1" si="1"/>
        <v>-15</v>
      </c>
      <c r="G30" s="19">
        <f t="shared" ca="1" si="0"/>
        <v>5.3990966513188061E-3</v>
      </c>
      <c r="H30" s="16"/>
      <c r="I30" s="16"/>
      <c r="J30" s="16"/>
      <c r="K30" s="16"/>
    </row>
    <row r="31" spans="1:11" x14ac:dyDescent="0.25">
      <c r="A31" s="16"/>
      <c r="B31" s="16"/>
      <c r="C31" s="16"/>
      <c r="D31" s="16"/>
      <c r="E31" s="16"/>
      <c r="F31" s="18">
        <f t="shared" ca="1" si="1"/>
        <v>-14</v>
      </c>
      <c r="G31" s="19">
        <f t="shared" ca="1" si="0"/>
        <v>6.5615814774676604E-3</v>
      </c>
      <c r="H31" s="16"/>
      <c r="I31" s="16"/>
      <c r="J31" s="16"/>
      <c r="K31" s="16"/>
    </row>
    <row r="32" spans="1:11" x14ac:dyDescent="0.25">
      <c r="A32" s="16"/>
      <c r="B32" s="16"/>
      <c r="C32" s="16"/>
      <c r="D32" s="16"/>
      <c r="E32" s="16"/>
      <c r="F32" s="18">
        <f t="shared" ca="1" si="1"/>
        <v>-13</v>
      </c>
      <c r="G32" s="19">
        <f t="shared" ca="1" si="0"/>
        <v>7.8950158300894139E-3</v>
      </c>
      <c r="H32" s="16"/>
      <c r="I32" s="16"/>
      <c r="J32" s="16"/>
      <c r="K32" s="16"/>
    </row>
    <row r="33" spans="1:11" x14ac:dyDescent="0.25">
      <c r="A33" s="16"/>
      <c r="B33" s="16"/>
      <c r="C33" s="16"/>
      <c r="D33" s="16"/>
      <c r="E33" s="16"/>
      <c r="F33" s="18">
        <f t="shared" ca="1" si="1"/>
        <v>-12</v>
      </c>
      <c r="G33" s="19">
        <f t="shared" ca="1" si="0"/>
        <v>9.4049077376886937E-3</v>
      </c>
      <c r="H33" s="16"/>
      <c r="I33" s="16"/>
      <c r="J33" s="16"/>
      <c r="K33" s="16"/>
    </row>
    <row r="34" spans="1:11" x14ac:dyDescent="0.25">
      <c r="A34" s="16"/>
      <c r="B34" s="16"/>
      <c r="C34" s="16"/>
      <c r="D34" s="16"/>
      <c r="E34" s="16"/>
      <c r="F34" s="18">
        <f t="shared" ca="1" si="1"/>
        <v>-11</v>
      </c>
      <c r="G34" s="19">
        <f t="shared" ca="1" si="0"/>
        <v>1.1092083467945555E-2</v>
      </c>
      <c r="H34" s="16"/>
      <c r="I34" s="16"/>
      <c r="J34" s="16"/>
      <c r="K34" s="16"/>
    </row>
    <row r="35" spans="1:11" x14ac:dyDescent="0.25">
      <c r="A35" s="16"/>
      <c r="B35" s="16"/>
      <c r="C35" s="16"/>
      <c r="D35" s="16"/>
      <c r="E35" s="16"/>
      <c r="F35" s="18">
        <f t="shared" ca="1" si="1"/>
        <v>-10</v>
      </c>
      <c r="G35" s="19">
        <f t="shared" ca="1" si="0"/>
        <v>1.2951759566589173E-2</v>
      </c>
      <c r="H35" s="16"/>
      <c r="I35" s="16"/>
      <c r="J35" s="16"/>
      <c r="K35" s="16"/>
    </row>
    <row r="36" spans="1:11" x14ac:dyDescent="0.25">
      <c r="A36" s="16"/>
      <c r="B36" s="16"/>
      <c r="C36" s="16"/>
      <c r="D36" s="16"/>
      <c r="E36" s="16"/>
      <c r="F36" s="18">
        <f t="shared" ca="1" si="1"/>
        <v>-9</v>
      </c>
      <c r="G36" s="19">
        <f t="shared" ca="1" si="0"/>
        <v>1.4972746563574486E-2</v>
      </c>
      <c r="H36" s="16"/>
      <c r="I36" s="16"/>
      <c r="J36" s="16"/>
      <c r="K36" s="16"/>
    </row>
    <row r="37" spans="1:11" x14ac:dyDescent="0.25">
      <c r="A37" s="16"/>
      <c r="B37" s="16"/>
      <c r="C37" s="16"/>
      <c r="D37" s="16"/>
      <c r="E37" s="16"/>
      <c r="F37" s="18">
        <f t="shared" ca="1" si="1"/>
        <v>-8</v>
      </c>
      <c r="G37" s="19">
        <f t="shared" ca="1" si="0"/>
        <v>1.7136859204780735E-2</v>
      </c>
      <c r="H37" s="16"/>
      <c r="I37" s="16"/>
      <c r="J37" s="16"/>
      <c r="K37" s="16"/>
    </row>
    <row r="38" spans="1:11" x14ac:dyDescent="0.25">
      <c r="A38" s="16"/>
      <c r="B38" s="16"/>
      <c r="C38" s="16"/>
      <c r="D38" s="16"/>
      <c r="E38" s="16"/>
      <c r="F38" s="18">
        <f t="shared" ca="1" si="1"/>
        <v>-7</v>
      </c>
      <c r="G38" s="19">
        <f t="shared" ca="1" si="0"/>
        <v>1.9418605498321296E-2</v>
      </c>
      <c r="H38" s="16"/>
      <c r="I38" s="16"/>
      <c r="J38" s="16"/>
      <c r="K38" s="16"/>
    </row>
    <row r="39" spans="1:11" x14ac:dyDescent="0.25">
      <c r="A39" s="16"/>
      <c r="B39" s="16"/>
      <c r="C39" s="16"/>
      <c r="D39" s="16"/>
      <c r="E39" s="16"/>
      <c r="F39" s="18">
        <f t="shared" ca="1" si="1"/>
        <v>-6</v>
      </c>
      <c r="G39" s="19">
        <f t="shared" ca="1" si="0"/>
        <v>2.1785217703255054E-2</v>
      </c>
      <c r="H39" s="16"/>
      <c r="I39" s="16"/>
      <c r="J39" s="16"/>
      <c r="K39" s="16"/>
    </row>
    <row r="40" spans="1:11" x14ac:dyDescent="0.25">
      <c r="A40" s="16"/>
      <c r="B40" s="16"/>
      <c r="C40" s="16"/>
      <c r="D40" s="16"/>
      <c r="E40" s="16"/>
      <c r="F40" s="18">
        <f t="shared" ca="1" si="1"/>
        <v>-5</v>
      </c>
      <c r="G40" s="19">
        <f t="shared" ca="1" si="0"/>
        <v>2.4197072451914336E-2</v>
      </c>
      <c r="H40" s="16"/>
      <c r="I40" s="16"/>
      <c r="J40" s="16"/>
      <c r="K40" s="16"/>
    </row>
    <row r="41" spans="1:11" x14ac:dyDescent="0.25">
      <c r="A41" s="16"/>
      <c r="B41" s="16"/>
      <c r="C41" s="16"/>
      <c r="D41" s="16"/>
      <c r="E41" s="16"/>
      <c r="F41" s="18">
        <f t="shared" ca="1" si="1"/>
        <v>-4</v>
      </c>
      <c r="G41" s="19">
        <f t="shared" ca="1" si="0"/>
        <v>2.6608524989875482E-2</v>
      </c>
      <c r="H41" s="16"/>
      <c r="I41" s="16"/>
      <c r="J41" s="16"/>
      <c r="K41" s="16"/>
    </row>
    <row r="42" spans="1:11" x14ac:dyDescent="0.25">
      <c r="A42" s="16"/>
      <c r="B42" s="16"/>
      <c r="C42" s="16"/>
      <c r="D42" s="16"/>
      <c r="E42" s="16"/>
      <c r="F42" s="18">
        <f t="shared" ca="1" si="1"/>
        <v>-3</v>
      </c>
      <c r="G42" s="19">
        <f t="shared" ref="G42:G73" ca="1" si="2">NORMDIST(F42,Mu,Sigma,FALSE)</f>
        <v>2.8969155276148274E-2</v>
      </c>
      <c r="H42" s="16"/>
      <c r="I42" s="16"/>
      <c r="J42" s="16"/>
      <c r="K42" s="16"/>
    </row>
    <row r="43" spans="1:11" x14ac:dyDescent="0.25">
      <c r="A43" s="16"/>
      <c r="B43" s="16"/>
      <c r="C43" s="16"/>
      <c r="D43" s="16"/>
      <c r="E43" s="16"/>
      <c r="F43" s="18">
        <f t="shared" ref="F43:F74" ca="1" si="3">F42+Sigma/10</f>
        <v>-2</v>
      </c>
      <c r="G43" s="19">
        <f t="shared" ca="1" si="2"/>
        <v>3.1225393336676129E-2</v>
      </c>
      <c r="H43" s="16"/>
      <c r="I43" s="16"/>
      <c r="J43" s="16"/>
      <c r="K43" s="16"/>
    </row>
    <row r="44" spans="1:11" x14ac:dyDescent="0.25">
      <c r="A44" s="16"/>
      <c r="B44" s="16"/>
      <c r="C44" s="16"/>
      <c r="D44" s="16"/>
      <c r="E44" s="16"/>
      <c r="F44" s="18">
        <f t="shared" ca="1" si="3"/>
        <v>-1</v>
      </c>
      <c r="G44" s="19">
        <f t="shared" ca="1" si="2"/>
        <v>3.3322460289179963E-2</v>
      </c>
      <c r="H44" s="16"/>
      <c r="I44" s="16"/>
      <c r="J44" s="16"/>
      <c r="K44" s="16"/>
    </row>
    <row r="45" spans="1:11" x14ac:dyDescent="0.25">
      <c r="A45" s="16"/>
      <c r="B45" s="16"/>
      <c r="C45" s="16"/>
      <c r="D45" s="16"/>
      <c r="E45" s="16"/>
      <c r="F45" s="18">
        <f t="shared" ca="1" si="3"/>
        <v>0</v>
      </c>
      <c r="G45" s="19">
        <f t="shared" ca="1" si="2"/>
        <v>3.5206532676429952E-2</v>
      </c>
      <c r="H45" s="16"/>
      <c r="I45" s="16"/>
      <c r="J45" s="16"/>
      <c r="K45" s="16"/>
    </row>
    <row r="46" spans="1:11" x14ac:dyDescent="0.25">
      <c r="A46" s="16"/>
      <c r="B46" s="16"/>
      <c r="C46" s="16"/>
      <c r="D46" s="16"/>
      <c r="E46" s="16"/>
      <c r="F46" s="18">
        <f t="shared" ca="1" si="3"/>
        <v>1</v>
      </c>
      <c r="G46" s="19">
        <f t="shared" ca="1" si="2"/>
        <v>3.6827014030332332E-2</v>
      </c>
      <c r="H46" s="16"/>
      <c r="I46" s="16"/>
      <c r="J46" s="16"/>
      <c r="K46" s="16"/>
    </row>
    <row r="47" spans="1:11" x14ac:dyDescent="0.25">
      <c r="A47" s="16"/>
      <c r="B47" s="16"/>
      <c r="C47" s="16"/>
      <c r="D47" s="16"/>
      <c r="E47" s="16"/>
      <c r="F47" s="18">
        <f t="shared" ca="1" si="3"/>
        <v>2</v>
      </c>
      <c r="G47" s="19">
        <f t="shared" ca="1" si="2"/>
        <v>3.8138781546052408E-2</v>
      </c>
      <c r="H47" s="16"/>
      <c r="I47" s="16"/>
      <c r="J47" s="16"/>
      <c r="K47" s="16"/>
    </row>
    <row r="48" spans="1:11" x14ac:dyDescent="0.25">
      <c r="A48" s="16"/>
      <c r="B48" s="16"/>
      <c r="C48" s="16"/>
      <c r="D48" s="16"/>
      <c r="E48" s="16"/>
      <c r="F48" s="18">
        <f t="shared" ca="1" si="3"/>
        <v>3</v>
      </c>
      <c r="G48" s="19">
        <f t="shared" ca="1" si="2"/>
        <v>3.9104269397545591E-2</v>
      </c>
      <c r="H48" s="16"/>
      <c r="I48" s="16"/>
      <c r="J48" s="16"/>
      <c r="K48" s="16"/>
    </row>
    <row r="49" spans="1:11" x14ac:dyDescent="0.25">
      <c r="A49" s="16"/>
      <c r="B49" s="16"/>
      <c r="C49" s="16"/>
      <c r="D49" s="16"/>
      <c r="E49" s="16"/>
      <c r="F49" s="18">
        <f t="shared" ca="1" si="3"/>
        <v>4</v>
      </c>
      <c r="G49" s="19">
        <f t="shared" ca="1" si="2"/>
        <v>3.9695254747701178E-2</v>
      </c>
      <c r="H49" s="16"/>
      <c r="I49" s="16"/>
      <c r="J49" s="16"/>
      <c r="K49" s="16"/>
    </row>
    <row r="50" spans="1:11" x14ac:dyDescent="0.25">
      <c r="A50" s="16"/>
      <c r="B50" s="16"/>
      <c r="C50" s="16"/>
      <c r="D50" s="16"/>
      <c r="E50" s="16"/>
      <c r="F50" s="18">
        <f t="shared" ca="1" si="3"/>
        <v>5</v>
      </c>
      <c r="G50" s="19">
        <f t="shared" ca="1" si="2"/>
        <v>3.9894228040143274E-2</v>
      </c>
      <c r="H50" s="16"/>
      <c r="I50" s="16"/>
      <c r="J50" s="16"/>
      <c r="K50" s="16"/>
    </row>
    <row r="51" spans="1:11" x14ac:dyDescent="0.25">
      <c r="A51" s="16"/>
      <c r="B51" s="16"/>
      <c r="C51" s="16"/>
      <c r="D51" s="16"/>
      <c r="E51" s="16"/>
      <c r="F51" s="18">
        <f t="shared" ca="1" si="3"/>
        <v>6</v>
      </c>
      <c r="G51" s="19">
        <f t="shared" ca="1" si="2"/>
        <v>3.9695254747701178E-2</v>
      </c>
      <c r="H51" s="16"/>
      <c r="I51" s="16"/>
      <c r="J51" s="16"/>
      <c r="K51" s="16"/>
    </row>
    <row r="52" spans="1:11" x14ac:dyDescent="0.25">
      <c r="A52" s="16"/>
      <c r="B52" s="16"/>
      <c r="C52" s="16"/>
      <c r="D52" s="16"/>
      <c r="E52" s="16"/>
      <c r="F52" s="18">
        <f t="shared" ca="1" si="3"/>
        <v>7</v>
      </c>
      <c r="G52" s="19">
        <f t="shared" ca="1" si="2"/>
        <v>3.9104269397545591E-2</v>
      </c>
      <c r="H52" s="16"/>
      <c r="I52" s="16"/>
      <c r="J52" s="16"/>
      <c r="K52" s="16"/>
    </row>
    <row r="53" spans="1:11" x14ac:dyDescent="0.25">
      <c r="A53" s="16"/>
      <c r="B53" s="16"/>
      <c r="C53" s="16"/>
      <c r="D53" s="16"/>
      <c r="E53" s="16"/>
      <c r="F53" s="18">
        <f t="shared" ca="1" si="3"/>
        <v>8</v>
      </c>
      <c r="G53" s="19">
        <f t="shared" ca="1" si="2"/>
        <v>3.8138781546052408E-2</v>
      </c>
      <c r="H53" s="16"/>
      <c r="I53" s="16"/>
      <c r="J53" s="16"/>
      <c r="K53" s="16"/>
    </row>
    <row r="54" spans="1:11" x14ac:dyDescent="0.25">
      <c r="A54" s="16"/>
      <c r="B54" s="16"/>
      <c r="C54" s="16"/>
      <c r="D54" s="16"/>
      <c r="E54" s="16"/>
      <c r="F54" s="18">
        <f t="shared" ca="1" si="3"/>
        <v>9</v>
      </c>
      <c r="G54" s="19">
        <f t="shared" ca="1" si="2"/>
        <v>3.6827014030332332E-2</v>
      </c>
      <c r="H54" s="16"/>
      <c r="I54" s="16"/>
      <c r="J54" s="16"/>
      <c r="K54" s="16"/>
    </row>
    <row r="55" spans="1:11" x14ac:dyDescent="0.25">
      <c r="A55" s="16"/>
      <c r="B55" s="16"/>
      <c r="C55" s="16"/>
      <c r="D55" s="16"/>
      <c r="E55" s="16"/>
      <c r="F55" s="18">
        <f t="shared" ca="1" si="3"/>
        <v>10</v>
      </c>
      <c r="G55" s="19">
        <f t="shared" ca="1" si="2"/>
        <v>3.5206532676429952E-2</v>
      </c>
      <c r="H55" s="16"/>
      <c r="I55" s="16"/>
      <c r="J55" s="16"/>
      <c r="K55" s="16"/>
    </row>
    <row r="56" spans="1:11" x14ac:dyDescent="0.25">
      <c r="A56" s="16"/>
      <c r="B56" s="16"/>
      <c r="C56" s="16"/>
      <c r="D56" s="16"/>
      <c r="E56" s="16"/>
      <c r="F56" s="18">
        <f t="shared" ca="1" si="3"/>
        <v>11</v>
      </c>
      <c r="G56" s="19">
        <f t="shared" ca="1" si="2"/>
        <v>3.3322460289179963E-2</v>
      </c>
      <c r="H56" s="16"/>
      <c r="I56" s="16"/>
      <c r="J56" s="16"/>
      <c r="K56" s="16"/>
    </row>
    <row r="57" spans="1:11" x14ac:dyDescent="0.25">
      <c r="A57" s="16"/>
      <c r="B57" s="16"/>
      <c r="C57" s="16"/>
      <c r="D57" s="16"/>
      <c r="E57" s="16"/>
      <c r="F57" s="18">
        <f t="shared" ca="1" si="3"/>
        <v>12</v>
      </c>
      <c r="G57" s="19">
        <f t="shared" ca="1" si="2"/>
        <v>3.1225393336676129E-2</v>
      </c>
      <c r="H57" s="16"/>
      <c r="I57" s="16"/>
      <c r="J57" s="16"/>
      <c r="K57" s="16"/>
    </row>
    <row r="58" spans="1:11" x14ac:dyDescent="0.25">
      <c r="A58" s="16"/>
      <c r="B58" s="16"/>
      <c r="C58" s="16"/>
      <c r="D58" s="16"/>
      <c r="E58" s="16"/>
      <c r="F58" s="18">
        <f t="shared" ca="1" si="3"/>
        <v>13</v>
      </c>
      <c r="G58" s="19">
        <f t="shared" ca="1" si="2"/>
        <v>2.8969155276148274E-2</v>
      </c>
      <c r="H58" s="16"/>
      <c r="I58" s="16"/>
      <c r="J58" s="16"/>
      <c r="K58" s="16"/>
    </row>
    <row r="59" spans="1:11" x14ac:dyDescent="0.25">
      <c r="A59" s="16"/>
      <c r="B59" s="16"/>
      <c r="C59" s="16"/>
      <c r="D59" s="16"/>
      <c r="E59" s="16"/>
      <c r="F59" s="18">
        <f t="shared" ca="1" si="3"/>
        <v>14</v>
      </c>
      <c r="G59" s="19">
        <f t="shared" ca="1" si="2"/>
        <v>2.6608524989875482E-2</v>
      </c>
      <c r="H59" s="16"/>
      <c r="I59" s="16"/>
      <c r="J59" s="16"/>
      <c r="K59" s="16"/>
    </row>
    <row r="60" spans="1:11" x14ac:dyDescent="0.25">
      <c r="A60" s="16"/>
      <c r="B60" s="16"/>
      <c r="C60" s="16"/>
      <c r="D60" s="16"/>
      <c r="E60" s="16"/>
      <c r="F60" s="18">
        <f t="shared" ca="1" si="3"/>
        <v>15</v>
      </c>
      <c r="G60" s="19">
        <f t="shared" ca="1" si="2"/>
        <v>2.4197072451914336E-2</v>
      </c>
      <c r="H60" s="16"/>
      <c r="I60" s="16"/>
      <c r="J60" s="16"/>
      <c r="K60" s="16"/>
    </row>
    <row r="61" spans="1:11" x14ac:dyDescent="0.25">
      <c r="A61" s="16"/>
      <c r="B61" s="16"/>
      <c r="C61" s="16"/>
      <c r="D61" s="16"/>
      <c r="E61" s="16"/>
      <c r="F61" s="18">
        <f t="shared" ca="1" si="3"/>
        <v>16</v>
      </c>
      <c r="G61" s="19">
        <f t="shared" ca="1" si="2"/>
        <v>2.1785217703255054E-2</v>
      </c>
      <c r="H61" s="16"/>
      <c r="I61" s="16"/>
      <c r="J61" s="16"/>
      <c r="K61" s="16"/>
    </row>
    <row r="62" spans="1:11" x14ac:dyDescent="0.25">
      <c r="A62" s="16"/>
      <c r="B62" s="16"/>
      <c r="C62" s="16"/>
      <c r="D62" s="16"/>
      <c r="E62" s="16"/>
      <c r="F62" s="18">
        <f t="shared" ca="1" si="3"/>
        <v>17</v>
      </c>
      <c r="G62" s="19">
        <f t="shared" ca="1" si="2"/>
        <v>1.9418605498321296E-2</v>
      </c>
      <c r="H62" s="16"/>
      <c r="I62" s="16"/>
      <c r="J62" s="16"/>
      <c r="K62" s="16"/>
    </row>
    <row r="63" spans="1:11" x14ac:dyDescent="0.25">
      <c r="A63" s="16"/>
      <c r="B63" s="16"/>
      <c r="C63" s="16"/>
      <c r="D63" s="16"/>
      <c r="E63" s="16"/>
      <c r="F63" s="18">
        <f t="shared" ca="1" si="3"/>
        <v>18</v>
      </c>
      <c r="G63" s="19">
        <f t="shared" ca="1" si="2"/>
        <v>1.7136859204780735E-2</v>
      </c>
      <c r="H63" s="16"/>
      <c r="I63" s="16"/>
      <c r="J63" s="16"/>
      <c r="K63" s="16"/>
    </row>
    <row r="64" spans="1:11" x14ac:dyDescent="0.25">
      <c r="A64" s="16"/>
      <c r="B64" s="16"/>
      <c r="C64" s="16"/>
      <c r="D64" s="16"/>
      <c r="E64" s="16"/>
      <c r="F64" s="18">
        <f t="shared" ca="1" si="3"/>
        <v>19</v>
      </c>
      <c r="G64" s="19">
        <f t="shared" ca="1" si="2"/>
        <v>1.4972746563574486E-2</v>
      </c>
      <c r="H64" s="16"/>
      <c r="I64" s="16"/>
      <c r="J64" s="16"/>
      <c r="K64" s="16"/>
    </row>
    <row r="65" spans="1:11" x14ac:dyDescent="0.25">
      <c r="A65" s="16"/>
      <c r="B65" s="16"/>
      <c r="C65" s="16"/>
      <c r="D65" s="16"/>
      <c r="E65" s="16"/>
      <c r="F65" s="18">
        <f t="shared" ca="1" si="3"/>
        <v>20</v>
      </c>
      <c r="G65" s="19">
        <f t="shared" ca="1" si="2"/>
        <v>1.2951759566589173E-2</v>
      </c>
      <c r="H65" s="16"/>
      <c r="I65" s="16"/>
      <c r="J65" s="16"/>
      <c r="K65" s="16"/>
    </row>
    <row r="66" spans="1:11" x14ac:dyDescent="0.25">
      <c r="A66" s="16"/>
      <c r="B66" s="16"/>
      <c r="C66" s="16"/>
      <c r="D66" s="16"/>
      <c r="E66" s="16"/>
      <c r="F66" s="18">
        <f t="shared" ca="1" si="3"/>
        <v>21</v>
      </c>
      <c r="G66" s="19">
        <f t="shared" ca="1" si="2"/>
        <v>1.1092083467945555E-2</v>
      </c>
      <c r="H66" s="16"/>
      <c r="I66" s="16"/>
      <c r="J66" s="16"/>
      <c r="K66" s="16"/>
    </row>
    <row r="67" spans="1:11" x14ac:dyDescent="0.25">
      <c r="A67" s="16"/>
      <c r="B67" s="16"/>
      <c r="C67" s="16"/>
      <c r="D67" s="16"/>
      <c r="E67" s="16"/>
      <c r="F67" s="18">
        <f t="shared" ca="1" si="3"/>
        <v>22</v>
      </c>
      <c r="G67" s="19">
        <f t="shared" ca="1" si="2"/>
        <v>9.4049077376886937E-3</v>
      </c>
      <c r="H67" s="16"/>
      <c r="I67" s="16"/>
      <c r="J67" s="16"/>
      <c r="K67" s="16"/>
    </row>
    <row r="68" spans="1:11" x14ac:dyDescent="0.25">
      <c r="A68" s="16"/>
      <c r="B68" s="16"/>
      <c r="C68" s="16"/>
      <c r="D68" s="16"/>
      <c r="E68" s="16"/>
      <c r="F68" s="18">
        <f t="shared" ca="1" si="3"/>
        <v>23</v>
      </c>
      <c r="G68" s="19">
        <f t="shared" ca="1" si="2"/>
        <v>7.8950158300894139E-3</v>
      </c>
      <c r="H68" s="16"/>
      <c r="I68" s="16"/>
      <c r="J68" s="16"/>
      <c r="K68" s="16"/>
    </row>
    <row r="69" spans="1:11" x14ac:dyDescent="0.25">
      <c r="A69" s="16"/>
      <c r="B69" s="16"/>
      <c r="C69" s="16"/>
      <c r="D69" s="16"/>
      <c r="E69" s="16"/>
      <c r="F69" s="18">
        <f t="shared" ca="1" si="3"/>
        <v>24</v>
      </c>
      <c r="G69" s="19">
        <f t="shared" ca="1" si="2"/>
        <v>6.5615814774676604E-3</v>
      </c>
      <c r="H69" s="16"/>
      <c r="I69" s="16"/>
      <c r="J69" s="16"/>
      <c r="K69" s="16"/>
    </row>
    <row r="70" spans="1:11" x14ac:dyDescent="0.25">
      <c r="A70" s="16"/>
      <c r="B70" s="16"/>
      <c r="C70" s="16"/>
      <c r="D70" s="16"/>
      <c r="E70" s="16"/>
      <c r="F70" s="18">
        <f t="shared" ca="1" si="3"/>
        <v>25</v>
      </c>
      <c r="G70" s="19">
        <f t="shared" ca="1" si="2"/>
        <v>5.3990966513188061E-3</v>
      </c>
      <c r="H70" s="16"/>
      <c r="I70" s="16"/>
      <c r="J70" s="16"/>
      <c r="K70" s="16"/>
    </row>
    <row r="71" spans="1:11" x14ac:dyDescent="0.25">
      <c r="A71" s="16"/>
      <c r="B71" s="16"/>
      <c r="C71" s="16"/>
      <c r="D71" s="16"/>
      <c r="E71" s="16"/>
      <c r="F71" s="18">
        <f t="shared" ca="1" si="3"/>
        <v>26</v>
      </c>
      <c r="G71" s="19">
        <f t="shared" ca="1" si="2"/>
        <v>4.3983595980427196E-3</v>
      </c>
      <c r="H71" s="16"/>
      <c r="I71" s="16"/>
      <c r="J71" s="16"/>
      <c r="K71" s="16"/>
    </row>
    <row r="72" spans="1:11" x14ac:dyDescent="0.25">
      <c r="A72" s="16"/>
      <c r="B72" s="16"/>
      <c r="C72" s="16"/>
      <c r="D72" s="16"/>
      <c r="E72" s="16"/>
      <c r="F72" s="18">
        <f t="shared" ca="1" si="3"/>
        <v>27</v>
      </c>
      <c r="G72" s="19">
        <f t="shared" ca="1" si="2"/>
        <v>3.5474592846231421E-3</v>
      </c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8">
        <f t="shared" ca="1" si="3"/>
        <v>28</v>
      </c>
      <c r="G73" s="19">
        <f t="shared" ca="1" si="2"/>
        <v>2.8327037741601186E-3</v>
      </c>
      <c r="H73" s="16"/>
      <c r="I73" s="16"/>
      <c r="J73" s="16"/>
      <c r="K73" s="16"/>
    </row>
    <row r="74" spans="1:11" x14ac:dyDescent="0.25">
      <c r="A74" s="16"/>
      <c r="B74" s="16"/>
      <c r="C74" s="16"/>
      <c r="D74" s="16"/>
      <c r="E74" s="16"/>
      <c r="F74" s="18">
        <f t="shared" ca="1" si="3"/>
        <v>29</v>
      </c>
      <c r="G74" s="19">
        <f t="shared" ref="G74:G95" ca="1" si="4">NORMDIST(F74,Mu,Sigma,FALSE)</f>
        <v>2.2394530294842902E-3</v>
      </c>
      <c r="H74" s="16"/>
      <c r="I74" s="16"/>
      <c r="J74" s="16"/>
      <c r="K74" s="16"/>
    </row>
    <row r="75" spans="1:11" x14ac:dyDescent="0.25">
      <c r="A75" s="16"/>
      <c r="B75" s="16"/>
      <c r="C75" s="16"/>
      <c r="D75" s="16"/>
      <c r="E75" s="16"/>
      <c r="F75" s="18">
        <f t="shared" ref="F75:F95" ca="1" si="5">F74+Sigma/10</f>
        <v>30</v>
      </c>
      <c r="G75" s="19">
        <f t="shared" ca="1" si="4"/>
        <v>1.752830049356854E-3</v>
      </c>
      <c r="H75" s="16"/>
      <c r="I75" s="16"/>
      <c r="J75" s="16"/>
      <c r="K75" s="16"/>
    </row>
    <row r="76" spans="1:11" x14ac:dyDescent="0.25">
      <c r="A76" s="16"/>
      <c r="B76" s="16"/>
      <c r="C76" s="16"/>
      <c r="D76" s="16"/>
      <c r="E76" s="16"/>
      <c r="F76" s="18">
        <f t="shared" ca="1" si="5"/>
        <v>31</v>
      </c>
      <c r="G76" s="19">
        <f t="shared" ca="1" si="4"/>
        <v>1.3582969233685612E-3</v>
      </c>
      <c r="H76" s="16"/>
      <c r="I76" s="16"/>
      <c r="J76" s="16"/>
      <c r="K76" s="16"/>
    </row>
    <row r="77" spans="1:11" x14ac:dyDescent="0.25">
      <c r="A77" s="16"/>
      <c r="B77" s="16"/>
      <c r="C77" s="16"/>
      <c r="D77" s="16"/>
      <c r="E77" s="16"/>
      <c r="F77" s="18">
        <f t="shared" ca="1" si="5"/>
        <v>32</v>
      </c>
      <c r="G77" s="19">
        <f t="shared" ca="1" si="4"/>
        <v>1.0420934814422591E-3</v>
      </c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8">
        <f t="shared" ca="1" si="5"/>
        <v>33</v>
      </c>
      <c r="G78" s="19">
        <f t="shared" ca="1" si="4"/>
        <v>7.9154515829799694E-4</v>
      </c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8">
        <f t="shared" ca="1" si="5"/>
        <v>34</v>
      </c>
      <c r="G79" s="19">
        <f t="shared" ca="1" si="4"/>
        <v>5.9525324197758534E-4</v>
      </c>
      <c r="H79" s="16"/>
      <c r="I79" s="16"/>
      <c r="J79" s="16"/>
      <c r="K79" s="16"/>
    </row>
    <row r="80" spans="1:11" x14ac:dyDescent="0.25">
      <c r="A80" s="16"/>
      <c r="B80" s="16"/>
      <c r="C80" s="16"/>
      <c r="D80" s="16"/>
      <c r="E80" s="16"/>
      <c r="F80" s="18">
        <f t="shared" ca="1" si="5"/>
        <v>35</v>
      </c>
      <c r="G80" s="19">
        <f t="shared" ca="1" si="4"/>
        <v>4.4318484119380076E-4</v>
      </c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8">
        <f t="shared" ca="1" si="5"/>
        <v>36</v>
      </c>
      <c r="G81" s="19">
        <f t="shared" ca="1" si="4"/>
        <v>3.2668190561999186E-4</v>
      </c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8">
        <f t="shared" ca="1" si="5"/>
        <v>37</v>
      </c>
      <c r="G82" s="19">
        <f t="shared" ca="1" si="4"/>
        <v>2.3840882014648405E-4</v>
      </c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8">
        <f t="shared" ca="1" si="5"/>
        <v>38</v>
      </c>
      <c r="G83" s="19">
        <f t="shared" ca="1" si="4"/>
        <v>1.722568939053681E-4</v>
      </c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8">
        <f t="shared" ca="1" si="5"/>
        <v>39</v>
      </c>
      <c r="G84" s="19">
        <f t="shared" ca="1" si="4"/>
        <v>1.2322191684730198E-4</v>
      </c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8">
        <f t="shared" ca="1" si="5"/>
        <v>40</v>
      </c>
      <c r="G85" s="19">
        <f t="shared" ca="1" si="4"/>
        <v>8.726826950457601E-5</v>
      </c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8">
        <f t="shared" ca="1" si="5"/>
        <v>41</v>
      </c>
      <c r="G86" s="19">
        <f t="shared" ca="1" si="4"/>
        <v>6.1190193011377187E-5</v>
      </c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8">
        <f t="shared" ca="1" si="5"/>
        <v>42</v>
      </c>
      <c r="G87" s="19">
        <f t="shared" ca="1" si="4"/>
        <v>4.2478027055075142E-5</v>
      </c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8">
        <f t="shared" ca="1" si="5"/>
        <v>43</v>
      </c>
      <c r="G88" s="19">
        <f t="shared" ca="1" si="4"/>
        <v>2.9194692579146026E-5</v>
      </c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8">
        <f t="shared" ca="1" si="5"/>
        <v>44</v>
      </c>
      <c r="G89" s="19">
        <f t="shared" ca="1" si="4"/>
        <v>1.9865547139277272E-5</v>
      </c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8">
        <f t="shared" ca="1" si="5"/>
        <v>45</v>
      </c>
      <c r="G90" s="19">
        <f t="shared" ca="1" si="4"/>
        <v>1.3383022576488536E-5</v>
      </c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8">
        <f t="shared" ca="1" si="5"/>
        <v>46</v>
      </c>
      <c r="G91" s="19">
        <f t="shared" ca="1" si="4"/>
        <v>8.9261657177132918E-6</v>
      </c>
      <c r="H91" s="16"/>
      <c r="I91" s="16"/>
      <c r="J91" s="16"/>
      <c r="K91" s="16"/>
    </row>
    <row r="92" spans="1:11" x14ac:dyDescent="0.25">
      <c r="A92" s="16"/>
      <c r="B92" s="16"/>
      <c r="C92" s="16"/>
      <c r="D92" s="16"/>
      <c r="E92" s="16"/>
      <c r="F92" s="18">
        <f t="shared" ca="1" si="5"/>
        <v>47</v>
      </c>
      <c r="G92" s="19">
        <f t="shared" ca="1" si="4"/>
        <v>5.8943067756539858E-6</v>
      </c>
      <c r="H92" s="16"/>
      <c r="I92" s="16"/>
      <c r="J92" s="16"/>
      <c r="K92" s="16"/>
    </row>
    <row r="93" spans="1:11" x14ac:dyDescent="0.25">
      <c r="A93" s="16"/>
      <c r="B93" s="16"/>
      <c r="C93" s="16"/>
      <c r="D93" s="16"/>
      <c r="E93" s="16"/>
      <c r="F93" s="18">
        <f t="shared" ca="1" si="5"/>
        <v>48</v>
      </c>
      <c r="G93" s="19">
        <f t="shared" ca="1" si="4"/>
        <v>3.8535196742087128E-6</v>
      </c>
      <c r="H93" s="16"/>
      <c r="I93" s="16"/>
      <c r="J93" s="16"/>
      <c r="K93" s="16"/>
    </row>
    <row r="94" spans="1:11" x14ac:dyDescent="0.25">
      <c r="A94" s="16"/>
      <c r="B94" s="16"/>
      <c r="C94" s="16"/>
      <c r="D94" s="16"/>
      <c r="E94" s="16"/>
      <c r="F94" s="18">
        <f t="shared" ca="1" si="5"/>
        <v>49</v>
      </c>
      <c r="G94" s="19">
        <f t="shared" ca="1" si="4"/>
        <v>2.4942471290053532E-6</v>
      </c>
      <c r="H94" s="16"/>
      <c r="I94" s="16"/>
      <c r="J94" s="16"/>
      <c r="K94" s="16"/>
    </row>
    <row r="95" spans="1:11" x14ac:dyDescent="0.25">
      <c r="A95" s="16"/>
      <c r="B95" s="16"/>
      <c r="C95" s="16"/>
      <c r="D95" s="16"/>
      <c r="E95" s="16"/>
      <c r="F95" s="18">
        <f t="shared" ca="1" si="5"/>
        <v>50</v>
      </c>
      <c r="G95" s="19">
        <f t="shared" ca="1" si="4"/>
        <v>1.5983741106905478E-6</v>
      </c>
      <c r="H95" s="16"/>
      <c r="I95" s="16"/>
      <c r="J95" s="16"/>
      <c r="K95" s="16"/>
    </row>
    <row r="96" spans="1:11" x14ac:dyDescent="0.25">
      <c r="A96" s="16"/>
      <c r="B96" s="16"/>
      <c r="C96" s="16"/>
      <c r="D96" s="16"/>
      <c r="E96" s="16"/>
      <c r="F96" s="16"/>
      <c r="G96" s="19"/>
      <c r="H96" s="16"/>
      <c r="I96" s="16"/>
      <c r="J96" s="16"/>
      <c r="K96" s="16"/>
    </row>
    <row r="97" spans="1:11" x14ac:dyDescent="0.25">
      <c r="A97" s="16"/>
      <c r="B97" s="16"/>
      <c r="C97" s="16"/>
      <c r="D97" s="16"/>
      <c r="E97" s="16"/>
      <c r="F97" s="16"/>
      <c r="G97" s="19"/>
      <c r="H97" s="16"/>
      <c r="I97" s="16"/>
      <c r="J97" s="16"/>
      <c r="K97" s="16"/>
    </row>
    <row r="98" spans="1:11" x14ac:dyDescent="0.25">
      <c r="A98" s="16"/>
      <c r="B98" s="16"/>
      <c r="C98" s="16"/>
      <c r="D98" s="16"/>
      <c r="E98" s="16"/>
      <c r="F98" s="16"/>
      <c r="G98" s="19"/>
      <c r="H98" s="16"/>
      <c r="I98" s="16"/>
      <c r="J98" s="16"/>
      <c r="K98" s="16"/>
    </row>
    <row r="99" spans="1:1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</sheetData>
  <mergeCells count="2">
    <mergeCell ref="B9:C9"/>
    <mergeCell ref="B14:C14"/>
  </mergeCells>
  <phoneticPr fontId="25" type="noConversion"/>
  <pageMargins left="0.75" right="0.75" top="1" bottom="1" header="0.5" footer="0.5"/>
  <pageSetup paperSize="9" orientation="portrait" horizontalDpi="200" verticalDpi="200" copies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99"/>
  <sheetViews>
    <sheetView showGridLines="0" workbookViewId="0">
      <pane ySplit="7" topLeftCell="A8" activePane="bottomLeft" state="frozen"/>
      <selection pane="bottomLeft" activeCell="F12" sqref="F12"/>
    </sheetView>
  </sheetViews>
  <sheetFormatPr defaultRowHeight="13.2" x14ac:dyDescent="0.25"/>
  <cols>
    <col min="2" max="2" width="17" bestFit="1" customWidth="1"/>
    <col min="3" max="3" width="10.88671875" customWidth="1"/>
    <col min="4" max="4" width="13.5546875" customWidth="1"/>
    <col min="5" max="5" width="12.6640625" bestFit="1" customWidth="1"/>
    <col min="6" max="6" width="14.88671875" style="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8" thickBot="1" x14ac:dyDescent="0.3">
      <c r="F8"/>
    </row>
    <row r="9" spans="1:16" ht="13.8" thickBot="1" x14ac:dyDescent="0.3">
      <c r="B9" s="118" t="s">
        <v>0</v>
      </c>
      <c r="C9" s="119"/>
      <c r="D9" s="16"/>
      <c r="E9" s="16"/>
      <c r="F9" s="16"/>
      <c r="G9" s="16"/>
      <c r="H9" s="16"/>
    </row>
    <row r="10" spans="1:16" x14ac:dyDescent="0.25">
      <c r="B10" s="17" t="s">
        <v>39</v>
      </c>
      <c r="C10" s="94">
        <v>0.01</v>
      </c>
      <c r="D10" s="16"/>
      <c r="E10" s="16"/>
      <c r="F10" s="16"/>
      <c r="G10" s="16"/>
      <c r="H10" s="16"/>
    </row>
    <row r="11" spans="1:16" x14ac:dyDescent="0.25">
      <c r="B11" s="21" t="s">
        <v>40</v>
      </c>
      <c r="C11" s="95">
        <v>0.01</v>
      </c>
      <c r="F11" s="16"/>
      <c r="G11" s="19"/>
      <c r="H11" s="31"/>
      <c r="I11" s="4"/>
      <c r="J11" s="2"/>
    </row>
    <row r="12" spans="1:16" x14ac:dyDescent="0.25">
      <c r="B12" s="21" t="s">
        <v>9</v>
      </c>
      <c r="C12" s="95">
        <v>0.1</v>
      </c>
      <c r="D12" s="16"/>
      <c r="E12" s="16"/>
      <c r="F12" s="16"/>
      <c r="G12" s="19"/>
      <c r="H12" s="16"/>
      <c r="I12" s="4"/>
      <c r="J12" s="3"/>
    </row>
    <row r="13" spans="1:16" ht="13.8" thickBot="1" x14ac:dyDescent="0.3">
      <c r="B13" s="22" t="s">
        <v>10</v>
      </c>
      <c r="C13" s="96">
        <v>0.2</v>
      </c>
      <c r="D13" s="16"/>
      <c r="E13" s="16"/>
      <c r="F13" s="16"/>
      <c r="G13" s="19"/>
      <c r="H13" s="16"/>
    </row>
    <row r="14" spans="1:16" ht="13.8" thickBot="1" x14ac:dyDescent="0.3">
      <c r="A14" s="16"/>
      <c r="B14" s="16"/>
      <c r="F14" s="16"/>
      <c r="G14" s="19"/>
      <c r="H14" s="16"/>
    </row>
    <row r="15" spans="1:16" ht="13.8" thickBot="1" x14ac:dyDescent="0.3">
      <c r="B15" s="50"/>
      <c r="C15" s="57" t="s">
        <v>42</v>
      </c>
      <c r="D15" s="57" t="s">
        <v>43</v>
      </c>
      <c r="E15" s="58" t="s">
        <v>7</v>
      </c>
      <c r="F15" s="48" t="s">
        <v>41</v>
      </c>
      <c r="G15" s="19"/>
      <c r="H15" s="16"/>
    </row>
    <row r="16" spans="1:16" x14ac:dyDescent="0.25">
      <c r="B16" s="32">
        <v>0</v>
      </c>
      <c r="C16" s="59">
        <f t="shared" ref="C16:C47" si="0">SQRT(0.5/PI())*SQRT(B16)*(10-B16)*IRVol</f>
        <v>0</v>
      </c>
      <c r="D16" s="59">
        <f t="shared" ref="D16:D47" ca="1" si="1">SQRT(0.5/PI())*SQRT(B16)*(10-B16)*IRVol2</f>
        <v>0</v>
      </c>
      <c r="E16" s="43">
        <f t="shared" ref="E16:E47" ca="1" si="2">SQRT(0.5/PI())*FXVol*SQRT(B16)</f>
        <v>0</v>
      </c>
      <c r="F16" s="46">
        <f t="shared" ref="F16:F47" ca="1" si="3">SQRT(0.5/PI())*SQRT(B16*(10-B16)^2*IRVol^2+B16*(10-B16)^2*IRVol2^2+FXVol^2*B16+2*IRFXCorr*B16*(10-B16)*IRVol*FXVol+2*IRFXCorr*B16*(10-B16)*IRVol2*FXVol+2*IRFXCorr*B16*(10-B16)^2*IRVol*IRVol2)</f>
        <v>0</v>
      </c>
      <c r="G16" s="19"/>
      <c r="H16" s="16"/>
    </row>
    <row r="17" spans="2:8" x14ac:dyDescent="0.25">
      <c r="B17" s="32">
        <v>0.05</v>
      </c>
      <c r="C17" s="59">
        <f t="shared" si="0"/>
        <v>8.8760174778600362E-3</v>
      </c>
      <c r="D17" s="59">
        <f t="shared" ca="1" si="1"/>
        <v>8.8760174778600362E-3</v>
      </c>
      <c r="E17" s="43">
        <f t="shared" ca="1" si="2"/>
        <v>8.920620580763856E-3</v>
      </c>
      <c r="F17" s="46">
        <f t="shared" ca="1" si="3"/>
        <v>1.8220921654460469E-2</v>
      </c>
      <c r="G17" s="19"/>
      <c r="H17" s="16"/>
    </row>
    <row r="18" spans="2:8" x14ac:dyDescent="0.25">
      <c r="B18" s="32">
        <v>0.1</v>
      </c>
      <c r="C18" s="59">
        <f t="shared" si="0"/>
        <v>1.2489505983999795E-2</v>
      </c>
      <c r="D18" s="59">
        <f t="shared" ca="1" si="1"/>
        <v>1.2489505983999795E-2</v>
      </c>
      <c r="E18" s="43">
        <f t="shared" ca="1" si="2"/>
        <v>1.2615662610100803E-2</v>
      </c>
      <c r="F18" s="46">
        <f t="shared" ca="1" si="3"/>
        <v>2.5682217220465143E-2</v>
      </c>
      <c r="G18" s="19"/>
      <c r="H18" s="16"/>
    </row>
    <row r="19" spans="2:8" x14ac:dyDescent="0.25">
      <c r="B19" s="32">
        <v>0.2</v>
      </c>
      <c r="C19" s="59">
        <f ca="1">SQRT(0.5/PI())*SQRT(B19)*(10-B19)*IRVol</f>
        <v>1.748441633829716E-2</v>
      </c>
      <c r="D19" s="59">
        <f ca="1">SQRT(0.5/PI())*SQRT(B19)*(10-B19)*IRVol2</f>
        <v>1.748441633829716E-2</v>
      </c>
      <c r="E19" s="43">
        <f ca="1">SQRT(0.5/PI())*FXVol*SQRT(B19)</f>
        <v>1.7841241161527712E-2</v>
      </c>
      <c r="F19" s="46">
        <f t="shared" ca="1" si="3"/>
        <v>3.6077089575103936E-2</v>
      </c>
      <c r="G19" s="19"/>
      <c r="H19" s="113"/>
    </row>
    <row r="20" spans="2:8" x14ac:dyDescent="0.25">
      <c r="B20" s="32">
        <v>0.3</v>
      </c>
      <c r="C20" s="59">
        <f ca="1">SQRT(0.5/PI())*SQRT(B20)*(10-B20)*IRVol</f>
        <v>2.1195439553486333E-2</v>
      </c>
      <c r="D20" s="59">
        <f ca="1">SQRT(0.5/PI())*SQRT(B20)*(10-B20)*IRVol2</f>
        <v>2.1195439553486333E-2</v>
      </c>
      <c r="E20" s="43">
        <f ca="1">SQRT(0.5/PI())*FXVol*SQRT(B20)</f>
        <v>2.1850968611841583E-2</v>
      </c>
      <c r="F20" s="46">
        <f t="shared" ca="1" si="3"/>
        <v>4.3888147781272355E-2</v>
      </c>
      <c r="G20" s="19"/>
      <c r="H20" s="16"/>
    </row>
    <row r="21" spans="2:8" x14ac:dyDescent="0.25">
      <c r="B21" s="32">
        <v>0.4</v>
      </c>
      <c r="C21" s="59">
        <f t="shared" si="0"/>
        <v>2.4222072211393539E-2</v>
      </c>
      <c r="D21" s="59">
        <f t="shared" ca="1" si="1"/>
        <v>2.4222072211393539E-2</v>
      </c>
      <c r="E21" s="43">
        <f t="shared" ca="1" si="2"/>
        <v>2.5231325220201606E-2</v>
      </c>
      <c r="F21" s="46">
        <f t="shared" ca="1" si="3"/>
        <v>5.0335323927232209E-2</v>
      </c>
      <c r="G21" s="19"/>
      <c r="H21" s="16"/>
    </row>
    <row r="22" spans="2:8" x14ac:dyDescent="0.25">
      <c r="B22" s="32">
        <f t="shared" ref="B22:B39" si="4">B21+0.2</f>
        <v>0.60000000000000009</v>
      </c>
      <c r="C22" s="59">
        <f t="shared" si="0"/>
        <v>2.9047819992143863E-2</v>
      </c>
      <c r="D22" s="59">
        <f t="shared" ca="1" si="1"/>
        <v>2.9047819992143863E-2</v>
      </c>
      <c r="E22" s="43">
        <f t="shared" ca="1" si="2"/>
        <v>3.0901936161855173E-2</v>
      </c>
      <c r="F22" s="46">
        <f t="shared" ca="1" si="3"/>
        <v>6.0811995468759178E-2</v>
      </c>
      <c r="G22" s="19"/>
      <c r="H22" s="16"/>
    </row>
    <row r="23" spans="2:8" x14ac:dyDescent="0.25">
      <c r="B23" s="32">
        <f t="shared" si="4"/>
        <v>0.8</v>
      </c>
      <c r="C23" s="59">
        <f t="shared" si="0"/>
        <v>3.2827883737210989E-2</v>
      </c>
      <c r="D23" s="59">
        <f t="shared" ca="1" si="1"/>
        <v>3.2827883737210989E-2</v>
      </c>
      <c r="E23" s="43">
        <f t="shared" ca="1" si="2"/>
        <v>3.5682482323055424E-2</v>
      </c>
      <c r="F23" s="46">
        <f t="shared" ca="1" si="3"/>
        <v>6.9258585974978318E-2</v>
      </c>
      <c r="G23" s="19"/>
      <c r="H23" s="16"/>
    </row>
    <row r="24" spans="2:8" x14ac:dyDescent="0.25">
      <c r="B24" s="32">
        <f t="shared" si="4"/>
        <v>1</v>
      </c>
      <c r="C24" s="59">
        <f t="shared" si="0"/>
        <v>3.5904805236128941E-2</v>
      </c>
      <c r="D24" s="59">
        <f t="shared" ca="1" si="1"/>
        <v>3.5904805236128941E-2</v>
      </c>
      <c r="E24" s="43">
        <f t="shared" ca="1" si="2"/>
        <v>3.9894228040143274E-2</v>
      </c>
      <c r="F24" s="46">
        <f t="shared" ca="1" si="3"/>
        <v>7.6363846909955013E-2</v>
      </c>
      <c r="G24" s="19"/>
      <c r="H24" s="16"/>
    </row>
    <row r="25" spans="2:8" x14ac:dyDescent="0.25">
      <c r="B25" s="32">
        <f t="shared" si="4"/>
        <v>1.2</v>
      </c>
      <c r="C25" s="59">
        <f t="shared" si="0"/>
        <v>3.8457704756841189E-2</v>
      </c>
      <c r="D25" s="59">
        <f t="shared" ca="1" si="1"/>
        <v>3.8457704756841189E-2</v>
      </c>
      <c r="E25" s="43">
        <f t="shared" ca="1" si="2"/>
        <v>4.3701937223683165E-2</v>
      </c>
      <c r="F25" s="46">
        <f t="shared" ca="1" si="3"/>
        <v>8.2486292247485299E-2</v>
      </c>
      <c r="G25" s="19"/>
      <c r="H25" s="16"/>
    </row>
    <row r="26" spans="2:8" x14ac:dyDescent="0.25">
      <c r="B26" s="32">
        <f t="shared" si="4"/>
        <v>1.4</v>
      </c>
      <c r="C26" s="59">
        <f t="shared" si="0"/>
        <v>4.0594998986953075E-2</v>
      </c>
      <c r="D26" s="59">
        <f t="shared" ca="1" si="1"/>
        <v>4.0594998986953075E-2</v>
      </c>
      <c r="E26" s="43">
        <f t="shared" ca="1" si="2"/>
        <v>4.7203487194131491E-2</v>
      </c>
      <c r="F26" s="46">
        <f t="shared" ca="1" si="3"/>
        <v>8.7842125872211227E-2</v>
      </c>
      <c r="G26" s="19"/>
      <c r="H26" s="16"/>
    </row>
    <row r="27" spans="2:8" x14ac:dyDescent="0.25">
      <c r="B27" s="32">
        <f t="shared" si="4"/>
        <v>1.5999999999999999</v>
      </c>
      <c r="C27" s="59">
        <f t="shared" si="0"/>
        <v>4.2388626369938696E-2</v>
      </c>
      <c r="D27" s="59">
        <f t="shared" ca="1" si="1"/>
        <v>4.2388626369938696E-2</v>
      </c>
      <c r="E27" s="43">
        <f t="shared" ca="1" si="2"/>
        <v>5.0462650440403212E-2</v>
      </c>
      <c r="F27" s="46">
        <f t="shared" ca="1" si="3"/>
        <v>9.2574416481374669E-2</v>
      </c>
      <c r="G27" s="19"/>
      <c r="H27" s="16"/>
    </row>
    <row r="28" spans="2:8" x14ac:dyDescent="0.25">
      <c r="B28" s="32">
        <f t="shared" si="4"/>
        <v>1.7999999999999998</v>
      </c>
      <c r="C28" s="59">
        <f t="shared" si="0"/>
        <v>4.3889453257358178E-2</v>
      </c>
      <c r="D28" s="59">
        <f t="shared" ca="1" si="1"/>
        <v>4.3889453257358178E-2</v>
      </c>
      <c r="E28" s="43">
        <f t="shared" ca="1" si="2"/>
        <v>5.3523723484583147E-2</v>
      </c>
      <c r="F28" s="46">
        <f t="shared" ca="1" si="3"/>
        <v>9.6784153666986228E-2</v>
      </c>
      <c r="G28" s="19"/>
      <c r="H28" s="16"/>
    </row>
    <row r="29" spans="2:8" x14ac:dyDescent="0.25">
      <c r="B29" s="32">
        <f t="shared" si="4"/>
        <v>1.9999999999999998</v>
      </c>
      <c r="C29" s="59">
        <f t="shared" si="0"/>
        <v>4.5135166683820505E-2</v>
      </c>
      <c r="D29" s="59">
        <f t="shared" ca="1" si="1"/>
        <v>4.5135166683820505E-2</v>
      </c>
      <c r="E29" s="43">
        <f t="shared" ca="1" si="2"/>
        <v>5.6418958354775631E-2</v>
      </c>
      <c r="F29" s="46">
        <f t="shared" ca="1" si="3"/>
        <v>0.1005461186978254</v>
      </c>
      <c r="G29" s="19"/>
      <c r="H29" s="16"/>
    </row>
    <row r="30" spans="2:8" x14ac:dyDescent="0.25">
      <c r="B30" s="32">
        <f t="shared" si="4"/>
        <v>2.1999999999999997</v>
      </c>
      <c r="C30" s="59">
        <f t="shared" si="0"/>
        <v>4.6154708127084935E-2</v>
      </c>
      <c r="D30" s="59">
        <f t="shared" ca="1" si="1"/>
        <v>4.6154708127084935E-2</v>
      </c>
      <c r="E30" s="43">
        <f t="shared" ca="1" si="2"/>
        <v>5.9172702727031977E-2</v>
      </c>
      <c r="F30" s="46">
        <f t="shared" ca="1" si="3"/>
        <v>0.10391777905776567</v>
      </c>
      <c r="G30" s="19"/>
      <c r="H30" s="16"/>
    </row>
    <row r="31" spans="2:8" x14ac:dyDescent="0.25">
      <c r="B31" s="32">
        <f t="shared" si="4"/>
        <v>2.4</v>
      </c>
      <c r="C31" s="59">
        <f t="shared" si="0"/>
        <v>4.6970942966019856E-2</v>
      </c>
      <c r="D31" s="59">
        <f t="shared" ca="1" si="1"/>
        <v>4.6970942966019856E-2</v>
      </c>
      <c r="E31" s="43">
        <f t="shared" ca="1" si="2"/>
        <v>6.1803872323710346E-2</v>
      </c>
      <c r="F31" s="46">
        <f t="shared" ca="1" si="3"/>
        <v>0.10694463204520104</v>
      </c>
      <c r="G31" s="19"/>
      <c r="H31" s="16"/>
    </row>
    <row r="32" spans="2:8" x14ac:dyDescent="0.25">
      <c r="B32" s="32">
        <f t="shared" si="4"/>
        <v>2.6</v>
      </c>
      <c r="C32" s="59">
        <f t="shared" si="0"/>
        <v>4.7602357271097094E-2</v>
      </c>
      <c r="D32" s="59">
        <f t="shared" ca="1" si="1"/>
        <v>4.7602357271097094E-2</v>
      </c>
      <c r="E32" s="43">
        <f t="shared" ca="1" si="2"/>
        <v>6.4327509825806886E-2</v>
      </c>
      <c r="F32" s="46">
        <f t="shared" ca="1" si="3"/>
        <v>0.1096635947208377</v>
      </c>
      <c r="G32" s="19"/>
      <c r="H32" s="16"/>
    </row>
    <row r="33" spans="2:8" x14ac:dyDescent="0.25">
      <c r="B33" s="32">
        <f t="shared" si="4"/>
        <v>2.8000000000000003</v>
      </c>
      <c r="C33" s="59">
        <f t="shared" si="0"/>
        <v>4.8064184482496719E-2</v>
      </c>
      <c r="D33" s="59">
        <f t="shared" ca="1" si="1"/>
        <v>4.8064184482496719E-2</v>
      </c>
      <c r="E33" s="43">
        <f t="shared" ca="1" si="2"/>
        <v>6.6755811781245469E-2</v>
      </c>
      <c r="F33" s="46">
        <f t="shared" ca="1" si="3"/>
        <v>0.11210525108433196</v>
      </c>
      <c r="G33" s="19"/>
      <c r="H33" s="16"/>
    </row>
    <row r="34" spans="2:8" x14ac:dyDescent="0.25">
      <c r="B34" s="32">
        <f t="shared" si="4"/>
        <v>3.0000000000000004</v>
      </c>
      <c r="C34" s="59">
        <f t="shared" si="0"/>
        <v>4.8369180925986972E-2</v>
      </c>
      <c r="D34" s="59">
        <f t="shared" ca="1" si="1"/>
        <v>4.8369180925986972E-2</v>
      </c>
      <c r="E34" s="43">
        <f t="shared" ca="1" si="2"/>
        <v>6.9098829894267105E-2</v>
      </c>
      <c r="F34" s="46">
        <f t="shared" ca="1" si="3"/>
        <v>0.11429539679699605</v>
      </c>
      <c r="G34" s="19"/>
      <c r="H34" s="16"/>
    </row>
    <row r="35" spans="2:8" x14ac:dyDescent="0.25">
      <c r="B35" s="32">
        <f t="shared" si="4"/>
        <v>3.2000000000000006</v>
      </c>
      <c r="C35" s="59">
        <f t="shared" si="0"/>
        <v>4.8528175959355373E-2</v>
      </c>
      <c r="D35" s="59">
        <f t="shared" ca="1" si="1"/>
        <v>4.8528175959355373E-2</v>
      </c>
      <c r="E35" s="43">
        <f t="shared" ca="1" si="2"/>
        <v>7.1364964646110862E-2</v>
      </c>
      <c r="F35" s="46">
        <f t="shared" ca="1" si="3"/>
        <v>0.1162561340185779</v>
      </c>
      <c r="G35" s="19"/>
      <c r="H35" s="16"/>
    </row>
    <row r="36" spans="2:8" x14ac:dyDescent="0.25">
      <c r="B36" s="32">
        <f t="shared" si="4"/>
        <v>3.4000000000000008</v>
      </c>
      <c r="C36" s="59">
        <f t="shared" si="0"/>
        <v>4.8550472388723537E-2</v>
      </c>
      <c r="D36" s="59">
        <f t="shared" ca="1" si="1"/>
        <v>4.8550472388723537E-2</v>
      </c>
      <c r="E36" s="43">
        <f t="shared" ca="1" si="2"/>
        <v>7.3561321801096299E-2</v>
      </c>
      <c r="F36" s="46">
        <f t="shared" ca="1" si="3"/>
        <v>0.11800666798750757</v>
      </c>
      <c r="G36" s="19"/>
      <c r="H36" s="16"/>
    </row>
    <row r="37" spans="2:8" x14ac:dyDescent="0.25">
      <c r="B37" s="32">
        <f t="shared" si="4"/>
        <v>3.600000000000001</v>
      </c>
      <c r="C37" s="59">
        <f t="shared" si="0"/>
        <v>4.8444144422787078E-2</v>
      </c>
      <c r="D37" s="59">
        <f t="shared" ca="1" si="1"/>
        <v>4.8444144422787078E-2</v>
      </c>
      <c r="E37" s="43">
        <f t="shared" ca="1" si="2"/>
        <v>7.5693975660604818E-2</v>
      </c>
      <c r="F37" s="46">
        <f t="shared" ca="1" si="3"/>
        <v>0.11956389995158279</v>
      </c>
      <c r="G37" s="19"/>
      <c r="H37" s="16"/>
    </row>
    <row r="38" spans="2:8" x14ac:dyDescent="0.25">
      <c r="B38" s="32">
        <f t="shared" si="4"/>
        <v>3.8000000000000012</v>
      </c>
      <c r="C38" s="59">
        <f t="shared" si="0"/>
        <v>4.8216263695271266E-2</v>
      </c>
      <c r="D38" s="59">
        <f t="shared" ca="1" si="1"/>
        <v>4.8216263695271266E-2</v>
      </c>
      <c r="E38" s="43">
        <f t="shared" ca="1" si="2"/>
        <v>7.7768167250437545E-2</v>
      </c>
      <c r="F38" s="46">
        <f t="shared" ca="1" si="3"/>
        <v>0.12094287745975252</v>
      </c>
      <c r="G38" s="19"/>
      <c r="H38" s="16"/>
    </row>
    <row r="39" spans="2:8" x14ac:dyDescent="0.25">
      <c r="B39" s="32">
        <f t="shared" si="4"/>
        <v>4.0000000000000009</v>
      </c>
      <c r="C39" s="59">
        <f t="shared" si="0"/>
        <v>4.7873073648171921E-2</v>
      </c>
      <c r="D39" s="59">
        <f t="shared" ca="1" si="1"/>
        <v>4.7873073648171921E-2</v>
      </c>
      <c r="E39" s="43">
        <f t="shared" ca="1" si="2"/>
        <v>7.9788456080286549E-2</v>
      </c>
      <c r="F39" s="46">
        <f t="shared" ca="1" si="3"/>
        <v>0.12215714250217262</v>
      </c>
      <c r="G39" s="19"/>
      <c r="H39" s="16"/>
    </row>
    <row r="40" spans="2:8" x14ac:dyDescent="0.25">
      <c r="B40" s="32">
        <f t="shared" ref="B40:B69" si="5">B39+0.2</f>
        <v>4.2000000000000011</v>
      </c>
      <c r="C40" s="59">
        <f t="shared" si="0"/>
        <v>4.7420126106504298E-2</v>
      </c>
      <c r="D40" s="59">
        <f t="shared" ca="1" si="1"/>
        <v>4.7420126106504298E-2</v>
      </c>
      <c r="E40" s="43">
        <f t="shared" ca="1" si="2"/>
        <v>8.1758838114662613E-2</v>
      </c>
      <c r="F40" s="46">
        <f t="shared" ca="1" si="3"/>
        <v>0.12321900504683</v>
      </c>
      <c r="G40" s="19"/>
      <c r="H40" s="16"/>
    </row>
    <row r="41" spans="2:8" x14ac:dyDescent="0.25">
      <c r="B41" s="32">
        <f t="shared" si="5"/>
        <v>4.4000000000000012</v>
      </c>
      <c r="C41" s="59">
        <f t="shared" si="0"/>
        <v>4.6862389682550416E-2</v>
      </c>
      <c r="D41" s="59">
        <f t="shared" ca="1" si="1"/>
        <v>4.6862389682550416E-2</v>
      </c>
      <c r="E41" s="43">
        <f t="shared" ca="1" si="2"/>
        <v>8.3682838718840066E-2</v>
      </c>
      <c r="F41" s="46">
        <f t="shared" ca="1" si="3"/>
        <v>0.12413976113434785</v>
      </c>
      <c r="G41" s="19"/>
      <c r="H41" s="16"/>
    </row>
    <row r="42" spans="2:8" x14ac:dyDescent="0.25">
      <c r="B42" s="32">
        <f t="shared" si="5"/>
        <v>4.6000000000000014</v>
      </c>
      <c r="C42" s="59">
        <f t="shared" si="0"/>
        <v>4.6204336859838685E-2</v>
      </c>
      <c r="D42" s="59">
        <f t="shared" ca="1" si="1"/>
        <v>4.6204336859838685E-2</v>
      </c>
      <c r="E42" s="43">
        <f t="shared" ca="1" si="2"/>
        <v>8.5563586777479078E-2</v>
      </c>
      <c r="F42" s="46">
        <f t="shared" ca="1" si="3"/>
        <v>0.12492986912074792</v>
      </c>
      <c r="G42" s="19"/>
      <c r="H42" s="16"/>
    </row>
    <row r="43" spans="2:8" x14ac:dyDescent="0.25">
      <c r="B43" s="32">
        <f t="shared" si="5"/>
        <v>4.8000000000000016</v>
      </c>
      <c r="C43" s="59">
        <f t="shared" si="0"/>
        <v>4.5450014712630493E-2</v>
      </c>
      <c r="D43" s="59">
        <f t="shared" ca="1" si="1"/>
        <v>4.5450014712630493E-2</v>
      </c>
      <c r="E43" s="43">
        <f t="shared" ca="1" si="2"/>
        <v>8.7403874447366345E-2</v>
      </c>
      <c r="F43" s="46">
        <f t="shared" ca="1" si="3"/>
        <v>0.12559909387323595</v>
      </c>
      <c r="G43" s="19"/>
      <c r="H43" s="16"/>
    </row>
    <row r="44" spans="2:8" x14ac:dyDescent="0.25">
      <c r="B44" s="32">
        <f t="shared" si="5"/>
        <v>5.0000000000000018</v>
      </c>
      <c r="C44" s="59">
        <f t="shared" si="0"/>
        <v>4.4603102903819275E-2</v>
      </c>
      <c r="D44" s="59">
        <f t="shared" ca="1" si="1"/>
        <v>4.4603102903819275E-2</v>
      </c>
      <c r="E44" s="43">
        <f t="shared" ca="1" si="2"/>
        <v>8.9206205807638592E-2</v>
      </c>
      <c r="F44" s="46">
        <f t="shared" ca="1" si="3"/>
        <v>0.12615662610100803</v>
      </c>
      <c r="G44" s="19"/>
      <c r="H44" s="16"/>
    </row>
    <row r="45" spans="2:8" x14ac:dyDescent="0.25">
      <c r="B45" s="32">
        <f t="shared" si="5"/>
        <v>5.200000000000002</v>
      </c>
      <c r="C45" s="59">
        <f t="shared" si="0"/>
        <v>4.3666961678085404E-2</v>
      </c>
      <c r="D45" s="59">
        <f t="shared" ca="1" si="1"/>
        <v>4.3666961678085404E-2</v>
      </c>
      <c r="E45" s="43">
        <f t="shared" ca="1" si="2"/>
        <v>9.0972836829344636E-2</v>
      </c>
      <c r="F45" s="46">
        <f t="shared" ca="1" si="3"/>
        <v>0.12661118215112926</v>
      </c>
      <c r="G45" s="19"/>
      <c r="H45" s="16"/>
    </row>
    <row r="46" spans="2:8" x14ac:dyDescent="0.25">
      <c r="B46" s="32">
        <f t="shared" si="5"/>
        <v>5.4000000000000021</v>
      </c>
      <c r="C46" s="59">
        <f t="shared" si="0"/>
        <v>4.2644671903360118E-2</v>
      </c>
      <c r="D46" s="59">
        <f t="shared" ca="1" si="1"/>
        <v>4.2644671903360118E-2</v>
      </c>
      <c r="E46" s="43">
        <f t="shared" ca="1" si="2"/>
        <v>9.2705808485565533E-2</v>
      </c>
      <c r="F46" s="46">
        <f t="shared" ca="1" si="3"/>
        <v>0.12697108826923181</v>
      </c>
      <c r="G46" s="19"/>
      <c r="H46" s="16"/>
    </row>
    <row r="47" spans="2:8" x14ac:dyDescent="0.25">
      <c r="B47" s="32">
        <f t="shared" si="5"/>
        <v>5.6000000000000023</v>
      </c>
      <c r="C47" s="59">
        <f t="shared" si="0"/>
        <v>4.1539068730835689E-2</v>
      </c>
      <c r="D47" s="59">
        <f t="shared" ca="1" si="1"/>
        <v>4.1539068730835689E-2</v>
      </c>
      <c r="E47" s="43">
        <f t="shared" ca="1" si="2"/>
        <v>9.4406974388262996E-2</v>
      </c>
      <c r="F47" s="46">
        <f t="shared" ca="1" si="3"/>
        <v>0.12724435235339054</v>
      </c>
      <c r="G47" s="19"/>
      <c r="H47" s="16"/>
    </row>
    <row r="48" spans="2:8" x14ac:dyDescent="0.25">
      <c r="B48" s="32">
        <f t="shared" si="5"/>
        <v>5.8000000000000025</v>
      </c>
      <c r="C48" s="59">
        <f t="shared" ref="C48:C69" si="6">SQRT(0.5/PI())*SQRT(B48)*(10-B48)*IRVol</f>
        <v>4.0352770087836581E-2</v>
      </c>
      <c r="D48" s="59">
        <f t="shared" ref="D48:D69" ca="1" si="7">SQRT(0.5/PI())*SQRT(B48)*(10-B48)*IRVol2</f>
        <v>4.0352770087836581E-2</v>
      </c>
      <c r="E48" s="43">
        <f t="shared" ref="E48:E69" ca="1" si="8">SQRT(0.5/PI())*FXVol*SQRT(B48)</f>
        <v>9.6078024018658587E-2</v>
      </c>
      <c r="F48" s="46">
        <f t="shared" ref="F48:F69" ca="1" si="9">SQRT(0.5/PI())*SQRT(B48*(10-B48)^2*IRVol^2+B48*(10-B48)^2*IRVol2^2+FXVol^2*B48+2*IRFXCorr*B48*(10-B48)*IRVol*FXVol+2*IRFXCorr*B48*(10-B48)*IRVol2*FXVol+2*IRFXCorr*B48*(10-B48)^2*IRVol*IRVol2)</f>
        <v>0.12743872550890137</v>
      </c>
      <c r="G48" s="19"/>
      <c r="H48" s="16"/>
    </row>
    <row r="49" spans="2:8" x14ac:dyDescent="0.25">
      <c r="B49" s="32">
        <f t="shared" si="5"/>
        <v>6.0000000000000027</v>
      </c>
      <c r="C49" s="59">
        <f t="shared" si="6"/>
        <v>3.908820095223358E-2</v>
      </c>
      <c r="D49" s="59">
        <f t="shared" ca="1" si="7"/>
        <v>3.908820095223358E-2</v>
      </c>
      <c r="E49" s="43">
        <f t="shared" ca="1" si="8"/>
        <v>9.7720502380584023E-2</v>
      </c>
      <c r="F49" s="46">
        <f t="shared" ca="1" si="9"/>
        <v>0.1275617551686844</v>
      </c>
      <c r="G49" s="19"/>
      <c r="H49" s="16"/>
    </row>
    <row r="50" spans="2:8" x14ac:dyDescent="0.25">
      <c r="B50" s="32">
        <f t="shared" si="5"/>
        <v>6.2000000000000028</v>
      </c>
      <c r="C50" s="59">
        <f t="shared" si="6"/>
        <v>3.774761415656782E-2</v>
      </c>
      <c r="D50" s="59">
        <f t="shared" ca="1" si="7"/>
        <v>3.774761415656782E-2</v>
      </c>
      <c r="E50" s="43">
        <f t="shared" ca="1" si="8"/>
        <v>9.9335826727810148E-2</v>
      </c>
      <c r="F50" s="46">
        <f t="shared" ca="1" si="9"/>
        <v>0.12762083112848405</v>
      </c>
      <c r="G50" s="19"/>
      <c r="H50" s="16"/>
    </row>
    <row r="51" spans="2:8" x14ac:dyDescent="0.25">
      <c r="B51" s="32">
        <f t="shared" si="5"/>
        <v>6.400000000000003</v>
      </c>
      <c r="C51" s="59">
        <f t="shared" si="6"/>
        <v>3.633310831709028E-2</v>
      </c>
      <c r="D51" s="59">
        <f t="shared" ca="1" si="7"/>
        <v>3.633310831709028E-2</v>
      </c>
      <c r="E51" s="43">
        <f t="shared" ca="1" si="8"/>
        <v>0.10092530088080644</v>
      </c>
      <c r="F51" s="46">
        <f t="shared" ca="1" si="9"/>
        <v>0.12762322552304703</v>
      </c>
      <c r="G51" s="19"/>
      <c r="H51" s="16"/>
    </row>
    <row r="52" spans="2:8" x14ac:dyDescent="0.25">
      <c r="B52" s="32">
        <f t="shared" si="5"/>
        <v>6.6000000000000032</v>
      </c>
      <c r="C52" s="59">
        <f t="shared" si="6"/>
        <v>3.4846643365092182E-2</v>
      </c>
      <c r="D52" s="59">
        <f t="shared" ca="1" si="7"/>
        <v>3.4846643365092182E-2</v>
      </c>
      <c r="E52" s="43">
        <f t="shared" ca="1" si="8"/>
        <v>0.10249012754438888</v>
      </c>
      <c r="F52" s="46">
        <f t="shared" ca="1" si="9"/>
        <v>0.12757612751453234</v>
      </c>
      <c r="G52" s="19"/>
      <c r="H52" s="16"/>
    </row>
    <row r="53" spans="2:8" x14ac:dyDescent="0.25">
      <c r="B53" s="32">
        <f t="shared" si="5"/>
        <v>6.8000000000000034</v>
      </c>
      <c r="C53" s="59">
        <f t="shared" si="6"/>
        <v>3.3290054066304607E-2</v>
      </c>
      <c r="D53" s="59">
        <f t="shared" ca="1" si="7"/>
        <v>3.3290054066304607E-2</v>
      </c>
      <c r="E53" s="43">
        <f t="shared" ca="1" si="8"/>
        <v>0.10403141895720201</v>
      </c>
      <c r="F53" s="46">
        <f t="shared" ca="1" si="9"/>
        <v>0.12748667326023752</v>
      </c>
      <c r="G53" s="19"/>
      <c r="H53" s="16"/>
    </row>
    <row r="54" spans="2:8" x14ac:dyDescent="0.25">
      <c r="B54" s="32">
        <f t="shared" si="5"/>
        <v>7.0000000000000036</v>
      </c>
      <c r="C54" s="59">
        <f t="shared" si="6"/>
        <v>3.1665061842335612E-2</v>
      </c>
      <c r="D54" s="59">
        <f t="shared" ca="1" si="7"/>
        <v>3.1665061842335612E-2</v>
      </c>
      <c r="E54" s="43">
        <f t="shared" ca="1" si="8"/>
        <v>0.10555020614111885</v>
      </c>
      <c r="F54" s="46">
        <f t="shared" ca="1" si="9"/>
        <v>0.12736197156108245</v>
      </c>
      <c r="G54" s="19"/>
      <c r="H54" s="16"/>
    </row>
    <row r="55" spans="2:8" x14ac:dyDescent="0.25">
      <c r="B55" s="32">
        <f t="shared" si="5"/>
        <v>7.2000000000000037</v>
      </c>
      <c r="C55" s="59">
        <f t="shared" si="6"/>
        <v>2.9973285151366519E-2</v>
      </c>
      <c r="D55" s="59">
        <f t="shared" ca="1" si="7"/>
        <v>2.9973285151366519E-2</v>
      </c>
      <c r="E55" s="43">
        <f t="shared" ca="1" si="8"/>
        <v>0.10704744696916631</v>
      </c>
      <c r="F55" s="46">
        <f t="shared" ca="1" si="9"/>
        <v>0.12720912545662305</v>
      </c>
      <c r="G55" s="19"/>
      <c r="H55" s="16"/>
    </row>
    <row r="56" spans="2:8" x14ac:dyDescent="0.25">
      <c r="B56" s="32">
        <f t="shared" si="5"/>
        <v>7.4000000000000039</v>
      </c>
      <c r="C56" s="59">
        <f t="shared" si="6"/>
        <v>2.8216248640152281E-2</v>
      </c>
      <c r="D56" s="59">
        <f t="shared" ca="1" si="7"/>
        <v>2.8216248640152281E-2</v>
      </c>
      <c r="E56" s="43">
        <f t="shared" ca="1" si="8"/>
        <v>0.10852403323135509</v>
      </c>
      <c r="F56" s="46">
        <f t="shared" ca="1" si="9"/>
        <v>0.12703524992082182</v>
      </c>
      <c r="G56" s="19"/>
      <c r="H56" s="16"/>
    </row>
    <row r="57" spans="2:8" x14ac:dyDescent="0.25">
      <c r="B57" s="32">
        <f t="shared" si="5"/>
        <v>7.6000000000000041</v>
      </c>
      <c r="C57" s="59">
        <f t="shared" si="6"/>
        <v>2.6395391243152263E-2</v>
      </c>
      <c r="D57" s="59">
        <f t="shared" ca="1" si="7"/>
        <v>2.6395391243152263E-2</v>
      </c>
      <c r="E57" s="43">
        <f t="shared" ca="1" si="8"/>
        <v>0.10998079684646796</v>
      </c>
      <c r="F57" s="46">
        <f t="shared" ca="1" si="9"/>
        <v>0.12684748572159713</v>
      </c>
      <c r="G57" s="19"/>
      <c r="H57" s="16"/>
    </row>
    <row r="58" spans="2:8" x14ac:dyDescent="0.25">
      <c r="B58" s="32">
        <f t="shared" si="5"/>
        <v>7.8000000000000043</v>
      </c>
      <c r="C58" s="59">
        <f t="shared" si="6"/>
        <v>2.451207337539037E-2</v>
      </c>
      <c r="D58" s="59">
        <f t="shared" ca="1" si="7"/>
        <v>2.451207337539037E-2</v>
      </c>
      <c r="E58" s="43">
        <f t="shared" ca="1" si="8"/>
        <v>0.11141851534268372</v>
      </c>
      <c r="F58" s="46">
        <f t="shared" ca="1" si="9"/>
        <v>0.12665300943411742</v>
      </c>
      <c r="G58" s="19"/>
      <c r="H58" s="16"/>
    </row>
    <row r="59" spans="2:8" x14ac:dyDescent="0.25">
      <c r="B59" s="32">
        <f t="shared" si="5"/>
        <v>8.0000000000000036</v>
      </c>
      <c r="C59" s="59">
        <f t="shared" si="6"/>
        <v>2.2567583341910221E-2</v>
      </c>
      <c r="D59" s="59">
        <f t="shared" ca="1" si="7"/>
        <v>2.2567583341910221E-2</v>
      </c>
      <c r="E59" s="43">
        <f t="shared" ca="1" si="8"/>
        <v>0.1128379167095513</v>
      </c>
      <c r="F59" s="46">
        <f t="shared" ca="1" si="9"/>
        <v>0.12645903954195464</v>
      </c>
      <c r="G59" s="19"/>
      <c r="H59" s="16"/>
    </row>
    <row r="60" spans="2:8" x14ac:dyDescent="0.25">
      <c r="B60" s="32">
        <f t="shared" si="5"/>
        <v>8.2000000000000028</v>
      </c>
      <c r="C60" s="59">
        <f t="shared" si="6"/>
        <v>2.0563143067307253E-2</v>
      </c>
      <c r="D60" s="59">
        <f t="shared" ca="1" si="7"/>
        <v>2.0563143067307253E-2</v>
      </c>
      <c r="E60" s="43">
        <f t="shared" ca="1" si="8"/>
        <v>0.11423968370726272</v>
      </c>
      <c r="F60" s="46">
        <f t="shared" ca="1" si="9"/>
        <v>0.12627283852159274</v>
      </c>
      <c r="G60" s="19"/>
      <c r="H60" s="16"/>
    </row>
    <row r="61" spans="2:8" x14ac:dyDescent="0.25">
      <c r="B61" s="32">
        <f t="shared" si="5"/>
        <v>8.4000000000000021</v>
      </c>
      <c r="C61" s="59">
        <f t="shared" si="6"/>
        <v>1.8499913232899522E-2</v>
      </c>
      <c r="D61" s="59">
        <f t="shared" ca="1" si="7"/>
        <v>1.8499913232899522E-2</v>
      </c>
      <c r="E61" s="43">
        <f t="shared" ca="1" si="8"/>
        <v>0.11562445770562219</v>
      </c>
      <c r="F61" s="46">
        <f t="shared" ca="1" si="9"/>
        <v>0.12610171078515475</v>
      </c>
      <c r="G61" s="19"/>
      <c r="H61" s="16"/>
    </row>
    <row r="62" spans="2:8" x14ac:dyDescent="0.25">
      <c r="B62" s="32">
        <f t="shared" si="5"/>
        <v>8.6000000000000014</v>
      </c>
      <c r="C62" s="59">
        <f t="shared" si="6"/>
        <v>1.6378997895955E-2</v>
      </c>
      <c r="D62" s="59">
        <f t="shared" ca="1" si="7"/>
        <v>1.6378997895955E-2</v>
      </c>
      <c r="E62" s="43">
        <f t="shared" ca="1" si="8"/>
        <v>0.11699284211396441</v>
      </c>
      <c r="F62" s="46">
        <f t="shared" ca="1" si="9"/>
        <v>0.12595299635477442</v>
      </c>
      <c r="G62" s="19"/>
      <c r="H62" s="16"/>
    </row>
    <row r="63" spans="2:8" x14ac:dyDescent="0.25">
      <c r="B63" s="32">
        <f t="shared" si="5"/>
        <v>8.8000000000000007</v>
      </c>
      <c r="C63" s="59">
        <f t="shared" si="6"/>
        <v>1.4201448654487667E-2</v>
      </c>
      <c r="D63" s="59">
        <f t="shared" ca="1" si="7"/>
        <v>1.4201448654487667E-2</v>
      </c>
      <c r="E63" s="43">
        <f t="shared" ca="1" si="8"/>
        <v>0.11834540545406398</v>
      </c>
      <c r="F63" s="46">
        <f t="shared" ca="1" si="9"/>
        <v>0.12583406016120455</v>
      </c>
      <c r="G63" s="19"/>
      <c r="H63" s="16"/>
    </row>
    <row r="64" spans="2:8" x14ac:dyDescent="0.25">
      <c r="B64" s="32">
        <f t="shared" si="5"/>
        <v>9</v>
      </c>
      <c r="C64" s="59">
        <f t="shared" si="6"/>
        <v>1.1968268412042982E-2</v>
      </c>
      <c r="D64" s="59">
        <f t="shared" ca="1" si="7"/>
        <v>1.1968268412042982E-2</v>
      </c>
      <c r="E64" s="43">
        <f t="shared" ca="1" si="8"/>
        <v>0.11968268412042982</v>
      </c>
      <c r="F64" s="46">
        <f t="shared" ca="1" si="9"/>
        <v>0.12575227690030397</v>
      </c>
      <c r="G64" s="19"/>
      <c r="H64" s="16"/>
    </row>
    <row r="65" spans="2:8" x14ac:dyDescent="0.25">
      <c r="B65" s="32">
        <f t="shared" si="5"/>
        <v>9.1999999999999993</v>
      </c>
      <c r="C65" s="59">
        <f t="shared" si="6"/>
        <v>9.680414789279855E-3</v>
      </c>
      <c r="D65" s="59">
        <f t="shared" ca="1" si="7"/>
        <v>9.680414789279855E-3</v>
      </c>
      <c r="E65" s="43">
        <f t="shared" ca="1" si="8"/>
        <v>0.12100518486599809</v>
      </c>
      <c r="F65" s="46">
        <f t="shared" ca="1" si="9"/>
        <v>0.12571501144478123</v>
      </c>
      <c r="G65" s="19"/>
      <c r="H65" s="16"/>
    </row>
    <row r="66" spans="2:8" x14ac:dyDescent="0.25">
      <c r="B66" s="32">
        <f t="shared" si="5"/>
        <v>9.3999999999999986</v>
      </c>
      <c r="C66" s="59">
        <f t="shared" si="6"/>
        <v>7.3388032227535331E-3</v>
      </c>
      <c r="D66" s="59">
        <f t="shared" ca="1" si="7"/>
        <v>7.3388032227535331E-3</v>
      </c>
      <c r="E66" s="43">
        <f t="shared" ca="1" si="8"/>
        <v>0.12231338704589192</v>
      </c>
      <c r="F66" s="46">
        <f t="shared" ca="1" si="9"/>
        <v>0.12572959489495825</v>
      </c>
      <c r="G66" s="19"/>
      <c r="H66" s="16"/>
    </row>
    <row r="67" spans="2:8" x14ac:dyDescent="0.25">
      <c r="B67" s="32">
        <f t="shared" si="5"/>
        <v>9.5999999999999979</v>
      </c>
      <c r="C67" s="59">
        <f t="shared" si="6"/>
        <v>4.9443097858968528E-3</v>
      </c>
      <c r="D67" s="59">
        <f t="shared" ca="1" si="7"/>
        <v>4.9443097858968528E-3</v>
      </c>
      <c r="E67" s="43">
        <f t="shared" ca="1" si="8"/>
        <v>0.12360774464742068</v>
      </c>
      <c r="F67" s="46">
        <f t="shared" ca="1" si="9"/>
        <v>0.12580329646007554</v>
      </c>
      <c r="G67" s="19"/>
      <c r="H67" s="16"/>
    </row>
    <row r="68" spans="2:8" x14ac:dyDescent="0.25">
      <c r="B68" s="32">
        <f t="shared" si="5"/>
        <v>9.7999999999999972</v>
      </c>
      <c r="C68" s="59">
        <f t="shared" si="6"/>
        <v>2.4977737626139147E-3</v>
      </c>
      <c r="D68" s="59">
        <f t="shared" ca="1" si="7"/>
        <v>2.4977737626139147E-3</v>
      </c>
      <c r="E68" s="43">
        <f t="shared" ca="1" si="8"/>
        <v>0.12488868813069398</v>
      </c>
      <c r="F68" s="46">
        <f t="shared" ca="1" si="9"/>
        <v>0.12594329148795472</v>
      </c>
      <c r="G68" s="19"/>
      <c r="H68" s="16"/>
    </row>
    <row r="69" spans="2:8" ht="13.8" thickBot="1" x14ac:dyDescent="0.3">
      <c r="B69" s="40">
        <f t="shared" si="5"/>
        <v>9.9999999999999964</v>
      </c>
      <c r="C69" s="60">
        <f t="shared" si="6"/>
        <v>4.4819837122037135E-17</v>
      </c>
      <c r="D69" s="60">
        <f t="shared" ca="1" si="7"/>
        <v>4.4819837122037135E-17</v>
      </c>
      <c r="E69" s="61">
        <f t="shared" ca="1" si="8"/>
        <v>0.126156626101008</v>
      </c>
      <c r="F69" s="47">
        <f t="shared" ca="1" si="9"/>
        <v>0.126156626101008</v>
      </c>
      <c r="G69" s="19"/>
      <c r="H69" s="16"/>
    </row>
    <row r="70" spans="2:8" x14ac:dyDescent="0.25">
      <c r="G70" s="19"/>
      <c r="H70" s="16"/>
    </row>
    <row r="71" spans="2:8" x14ac:dyDescent="0.25">
      <c r="B71" s="43"/>
      <c r="C71" s="43"/>
      <c r="D71" s="43"/>
      <c r="E71" s="43"/>
      <c r="F71" s="43"/>
      <c r="G71" s="19"/>
      <c r="H71" s="16"/>
    </row>
    <row r="72" spans="2:8" x14ac:dyDescent="0.25">
      <c r="B72" s="43"/>
      <c r="C72" s="43"/>
      <c r="D72" s="43"/>
      <c r="E72" s="43"/>
      <c r="F72" s="43"/>
      <c r="G72" s="19"/>
      <c r="H72" s="16"/>
    </row>
    <row r="73" spans="2:8" x14ac:dyDescent="0.25">
      <c r="B73" s="43"/>
      <c r="C73" s="43"/>
      <c r="D73" s="43"/>
      <c r="E73" s="43"/>
      <c r="F73" s="43"/>
      <c r="G73" s="19"/>
      <c r="H73" s="16"/>
    </row>
    <row r="74" spans="2:8" x14ac:dyDescent="0.25">
      <c r="B74" s="43"/>
      <c r="C74" s="43"/>
      <c r="D74" s="43"/>
      <c r="E74" s="43"/>
      <c r="F74" s="43"/>
      <c r="G74" s="19"/>
      <c r="H74" s="16"/>
    </row>
    <row r="75" spans="2:8" x14ac:dyDescent="0.25">
      <c r="B75" s="43"/>
      <c r="C75" s="43"/>
      <c r="D75" s="43"/>
      <c r="E75" s="43"/>
      <c r="F75" s="43"/>
      <c r="G75" s="19"/>
      <c r="H75" s="16"/>
    </row>
    <row r="76" spans="2:8" x14ac:dyDescent="0.25">
      <c r="B76" s="43"/>
      <c r="C76" s="43"/>
      <c r="D76" s="43"/>
      <c r="E76" s="43"/>
      <c r="F76" s="43"/>
      <c r="G76" s="19"/>
      <c r="H76" s="16"/>
    </row>
    <row r="77" spans="2:8" x14ac:dyDescent="0.25">
      <c r="B77" s="43"/>
      <c r="C77" s="43"/>
      <c r="D77" s="43"/>
      <c r="E77" s="43"/>
      <c r="F77" s="43"/>
      <c r="G77" s="19"/>
      <c r="H77" s="16"/>
    </row>
    <row r="78" spans="2:8" x14ac:dyDescent="0.25">
      <c r="B78" s="43"/>
      <c r="C78" s="43"/>
      <c r="D78" s="43"/>
      <c r="E78" s="43"/>
      <c r="F78" s="43"/>
      <c r="G78" s="19"/>
      <c r="H78" s="16"/>
    </row>
    <row r="79" spans="2:8" x14ac:dyDescent="0.25">
      <c r="B79" s="43"/>
      <c r="C79" s="43"/>
      <c r="D79" s="43"/>
      <c r="E79" s="43"/>
      <c r="F79" s="43"/>
      <c r="G79" s="19"/>
      <c r="H79" s="16"/>
    </row>
    <row r="80" spans="2:8" x14ac:dyDescent="0.25">
      <c r="B80" s="43"/>
      <c r="C80" s="43"/>
      <c r="D80" s="43"/>
      <c r="E80" s="43"/>
      <c r="F80" s="43"/>
      <c r="G80" s="19"/>
      <c r="H80" s="16"/>
    </row>
    <row r="81" spans="2:8" x14ac:dyDescent="0.25">
      <c r="B81" s="43"/>
      <c r="C81" s="43"/>
      <c r="D81" s="43"/>
      <c r="E81" s="43"/>
      <c r="F81" s="43"/>
      <c r="G81" s="19"/>
      <c r="H81" s="16"/>
    </row>
    <row r="82" spans="2:8" x14ac:dyDescent="0.25">
      <c r="B82" s="43"/>
      <c r="C82" s="43"/>
      <c r="D82" s="43"/>
      <c r="E82" s="43"/>
      <c r="F82" s="43"/>
      <c r="G82" s="19"/>
      <c r="H82" s="16"/>
    </row>
    <row r="83" spans="2:8" x14ac:dyDescent="0.25">
      <c r="B83" s="43"/>
      <c r="C83" s="43"/>
      <c r="D83" s="43"/>
      <c r="E83" s="43"/>
      <c r="F83" s="43"/>
      <c r="G83" s="19"/>
      <c r="H83" s="16"/>
    </row>
    <row r="84" spans="2:8" x14ac:dyDescent="0.25">
      <c r="B84" s="43"/>
      <c r="C84" s="43"/>
      <c r="D84" s="43"/>
      <c r="E84" s="43"/>
      <c r="F84" s="43"/>
      <c r="G84" s="19"/>
      <c r="H84" s="16"/>
    </row>
    <row r="85" spans="2:8" ht="15" x14ac:dyDescent="0.25">
      <c r="B85" s="9"/>
      <c r="C85" s="9"/>
      <c r="D85" s="9"/>
      <c r="E85" s="9"/>
      <c r="F85" s="6"/>
      <c r="G85" s="3"/>
    </row>
    <row r="86" spans="2:8" ht="15" x14ac:dyDescent="0.25">
      <c r="B86" s="9"/>
      <c r="C86" s="9"/>
      <c r="D86" s="9"/>
      <c r="E86" s="9"/>
      <c r="F86" s="6"/>
      <c r="G86" s="3"/>
    </row>
    <row r="87" spans="2:8" ht="15" x14ac:dyDescent="0.25">
      <c r="B87" s="9"/>
      <c r="C87" s="9"/>
      <c r="D87" s="9"/>
      <c r="E87" s="9"/>
      <c r="F87" s="6"/>
      <c r="G87" s="3"/>
    </row>
    <row r="88" spans="2:8" ht="15" x14ac:dyDescent="0.25">
      <c r="B88" s="9"/>
      <c r="C88" s="9"/>
      <c r="D88" s="9"/>
      <c r="E88" s="9"/>
      <c r="F88" s="6"/>
      <c r="G88" s="3"/>
    </row>
    <row r="89" spans="2:8" x14ac:dyDescent="0.25">
      <c r="B89" s="6"/>
      <c r="C89" s="6"/>
      <c r="D89" s="6"/>
      <c r="E89" s="6"/>
      <c r="F89" s="6"/>
      <c r="G89" s="3"/>
    </row>
    <row r="90" spans="2:8" x14ac:dyDescent="0.25">
      <c r="B90" s="6"/>
      <c r="C90" s="6"/>
      <c r="D90" s="6"/>
      <c r="E90" s="6"/>
      <c r="F90" s="6"/>
      <c r="G90" s="3"/>
    </row>
    <row r="91" spans="2:8" x14ac:dyDescent="0.25">
      <c r="B91" s="6"/>
      <c r="C91" s="6"/>
      <c r="D91" s="6"/>
      <c r="E91" s="6"/>
      <c r="F91" s="6"/>
      <c r="G91" s="3"/>
    </row>
    <row r="92" spans="2:8" x14ac:dyDescent="0.25">
      <c r="B92" s="6"/>
      <c r="C92" s="6"/>
      <c r="D92" s="6"/>
      <c r="E92" s="6"/>
      <c r="F92" s="6"/>
      <c r="G92" s="3"/>
    </row>
    <row r="93" spans="2:8" x14ac:dyDescent="0.25">
      <c r="B93" s="6"/>
      <c r="C93" s="6"/>
      <c r="D93" s="6"/>
      <c r="E93" s="6"/>
      <c r="F93" s="6"/>
      <c r="G93" s="3"/>
    </row>
    <row r="94" spans="2:8" x14ac:dyDescent="0.25">
      <c r="B94" s="6"/>
      <c r="C94" s="6"/>
      <c r="D94" s="6"/>
      <c r="E94" s="6"/>
      <c r="F94" s="6"/>
      <c r="G94" s="3"/>
    </row>
    <row r="95" spans="2:8" x14ac:dyDescent="0.25">
      <c r="B95" s="6"/>
      <c r="C95" s="6"/>
      <c r="D95" s="6"/>
      <c r="E95" s="6"/>
      <c r="F95" s="6"/>
      <c r="G95" s="3"/>
    </row>
    <row r="96" spans="2:8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</sheetData>
  <mergeCells count="1">
    <mergeCell ref="B9:C9"/>
  </mergeCell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P99"/>
  <sheetViews>
    <sheetView showGridLines="0" tabSelected="1" workbookViewId="0">
      <pane ySplit="7" topLeftCell="A8" activePane="bottomLeft" state="frozen"/>
      <selection pane="bottomLeft" activeCell="A9" sqref="A9"/>
    </sheetView>
  </sheetViews>
  <sheetFormatPr defaultRowHeight="13.2" x14ac:dyDescent="0.25"/>
  <cols>
    <col min="2" max="2" width="17" style="5" customWidth="1"/>
    <col min="3" max="3" width="12" style="5" customWidth="1"/>
    <col min="4" max="4" width="9.6640625" style="5" customWidth="1"/>
    <col min="5" max="5" width="10" style="5" customWidth="1"/>
    <col min="6" max="6" width="9.44140625" style="5" customWidth="1"/>
    <col min="7" max="7" width="10.44140625" customWidth="1"/>
    <col min="8" max="8" width="9.77734375" bestFit="1" customWidth="1"/>
    <col min="10" max="12" width="20.44140625" bestFit="1" customWidth="1"/>
    <col min="13" max="13" width="8.5546875" bestFit="1" customWidth="1"/>
    <col min="14" max="14" width="12.109375" bestFit="1" customWidth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8" thickBot="1" x14ac:dyDescent="0.3">
      <c r="B8"/>
      <c r="C8"/>
      <c r="D8"/>
      <c r="E8"/>
      <c r="F8"/>
    </row>
    <row r="9" spans="2:16" ht="15.6" thickBot="1" x14ac:dyDescent="0.3">
      <c r="B9" s="116" t="s">
        <v>0</v>
      </c>
      <c r="C9" s="117"/>
      <c r="D9" s="16"/>
      <c r="E9"/>
      <c r="F9" s="8"/>
      <c r="G9" s="16"/>
    </row>
    <row r="10" spans="2:16" ht="15" x14ac:dyDescent="0.25">
      <c r="B10" s="17" t="s">
        <v>14</v>
      </c>
      <c r="C10" s="97">
        <v>0.02</v>
      </c>
      <c r="D10" s="16"/>
      <c r="E10" s="16"/>
      <c r="F10" s="8"/>
      <c r="G10" s="16"/>
    </row>
    <row r="11" spans="2:16" ht="15" x14ac:dyDescent="0.25">
      <c r="B11" s="21" t="s">
        <v>15</v>
      </c>
      <c r="C11" s="95">
        <v>0.4</v>
      </c>
      <c r="D11" s="16"/>
      <c r="E11" s="31"/>
      <c r="F11" s="8"/>
      <c r="G11" s="19"/>
    </row>
    <row r="12" spans="2:16" ht="15" x14ac:dyDescent="0.25">
      <c r="B12" s="21" t="s">
        <v>16</v>
      </c>
      <c r="C12" s="95">
        <v>0.05</v>
      </c>
      <c r="D12" s="16"/>
      <c r="E12" s="16"/>
      <c r="F12" s="8"/>
      <c r="G12" s="19"/>
    </row>
    <row r="13" spans="2:16" ht="15" x14ac:dyDescent="0.25">
      <c r="B13" s="21" t="s">
        <v>44</v>
      </c>
      <c r="C13" s="126">
        <v>2.5000000000000001E-2</v>
      </c>
      <c r="D13" s="16"/>
      <c r="E13" s="16"/>
      <c r="F13" s="8"/>
      <c r="G13" s="19"/>
      <c r="J13" s="12">
        <f ca="1">NORMDIST(NORMSINV(99%),0,1,FALSE)/1%</f>
        <v>2.665214220345808</v>
      </c>
    </row>
    <row r="14" spans="2:16" ht="15" x14ac:dyDescent="0.25">
      <c r="B14" s="21" t="s">
        <v>17</v>
      </c>
      <c r="C14" s="95">
        <v>0.5</v>
      </c>
      <c r="D14" s="16"/>
      <c r="E14" s="16"/>
      <c r="F14" s="8"/>
      <c r="G14" s="19"/>
    </row>
    <row r="15" spans="2:16" ht="15.6" thickBot="1" x14ac:dyDescent="0.3">
      <c r="B15" s="22" t="s">
        <v>8</v>
      </c>
      <c r="C15" s="98">
        <v>0.99</v>
      </c>
      <c r="D15" s="16"/>
      <c r="E15" s="25"/>
      <c r="F15" s="25"/>
      <c r="G15" s="19"/>
      <c r="H15" s="16"/>
      <c r="I15" s="8"/>
    </row>
    <row r="16" spans="2:16" ht="15" x14ac:dyDescent="0.25">
      <c r="B16" s="16"/>
      <c r="C16" s="16"/>
      <c r="D16" s="16"/>
      <c r="E16" s="16"/>
      <c r="F16" s="16"/>
      <c r="G16" s="19"/>
      <c r="H16" s="16"/>
      <c r="I16" s="8"/>
    </row>
    <row r="17" spans="2:15" ht="15.6" thickBot="1" x14ac:dyDescent="0.3">
      <c r="B17" s="16"/>
      <c r="C17" s="62"/>
      <c r="D17" s="16"/>
      <c r="E17" s="16"/>
      <c r="F17" s="16"/>
      <c r="G17" s="19"/>
      <c r="H17" s="16"/>
      <c r="I17" s="8"/>
    </row>
    <row r="18" spans="2:15" ht="15.6" thickBot="1" x14ac:dyDescent="0.3">
      <c r="B18" s="50"/>
      <c r="C18" s="57" t="s">
        <v>12</v>
      </c>
      <c r="D18" s="58" t="s">
        <v>11</v>
      </c>
      <c r="E18" s="57" t="s">
        <v>18</v>
      </c>
      <c r="F18" s="57" t="s">
        <v>6</v>
      </c>
      <c r="G18" s="52" t="s">
        <v>13</v>
      </c>
      <c r="I18" s="8"/>
      <c r="J18" s="11"/>
      <c r="K18" s="11"/>
      <c r="L18" s="11"/>
      <c r="M18" s="11"/>
      <c r="N18" s="11"/>
      <c r="O18" s="11"/>
    </row>
    <row r="19" spans="2:15" ht="15" x14ac:dyDescent="0.25">
      <c r="B19" s="63">
        <v>0</v>
      </c>
      <c r="C19" s="64"/>
      <c r="D19" s="65"/>
      <c r="E19" s="64"/>
      <c r="F19" s="66">
        <v>0</v>
      </c>
      <c r="G19" s="67">
        <v>0</v>
      </c>
      <c r="I19" s="8"/>
    </row>
    <row r="20" spans="2:15" ht="15" x14ac:dyDescent="0.25">
      <c r="B20" s="68">
        <v>0.05</v>
      </c>
      <c r="C20" s="69">
        <f ca="1">EXP(-B19*Spread/(1-Rec))-EXP(-B20*Spread/(1-Rec))</f>
        <v>2.0811647007007439E-3</v>
      </c>
      <c r="D20" s="43">
        <f ca="1">(1-EXP(-(HazardRate+IRate)*(5-B20)))/(HazardRate+IRate)</f>
        <v>4.3849955837814854</v>
      </c>
      <c r="E20" s="70">
        <f ca="1">CDSSpread*SpreadVol*SQRT(B20)</f>
        <v>2.2360679774997899E-3</v>
      </c>
      <c r="F20" s="70">
        <f t="shared" ref="F20:F41" ca="1" si="0">C20*(1-Rec)+(1-C20)*E20*D20/SQRT(2*PI())</f>
        <v>5.1522461381733921E-3</v>
      </c>
      <c r="G20" s="71">
        <f t="shared" ref="G20:G41" ca="1" si="1">IF(C20&gt;(1-ConfLevel1),(1-Rec),E20*D20*NORMSINV(ConfLevel1))</f>
        <v>2.2810185684548345E-2</v>
      </c>
      <c r="I20" s="8"/>
      <c r="J20" s="10"/>
      <c r="K20" s="10"/>
      <c r="L20" s="15"/>
      <c r="M20" s="7"/>
      <c r="N20" s="13"/>
      <c r="O20" s="14"/>
    </row>
    <row r="21" spans="2:15" ht="15" x14ac:dyDescent="0.25">
      <c r="B21" s="68">
        <v>0.1</v>
      </c>
      <c r="C21" s="69">
        <f ca="1">EXP(-B20*Spread/(1-Rec))-EXP(-B21*Spread/(1-Rec))</f>
        <v>2.0768334541892974E-3</v>
      </c>
      <c r="D21" s="43">
        <f ca="1">(1-EXP(-(HazardRate+IRate)*(5-B21)))/(HazardRate+IRate)</f>
        <v>4.3459092351626367</v>
      </c>
      <c r="E21" s="70">
        <f ca="1">CDSSpread*SpreadVol*SQRT(B21)</f>
        <v>3.1622776601683794E-3</v>
      </c>
      <c r="F21" s="70">
        <f t="shared" ca="1" si="0"/>
        <v>6.717365980950931E-3</v>
      </c>
      <c r="G21" s="71">
        <f t="shared" ca="1" si="1"/>
        <v>3.1970932968159199E-2</v>
      </c>
      <c r="I21" s="8"/>
      <c r="J21" s="10"/>
      <c r="K21" s="10"/>
      <c r="L21" s="15"/>
      <c r="M21" s="7"/>
      <c r="N21" s="13"/>
      <c r="O21" s="14"/>
    </row>
    <row r="22" spans="2:15" ht="15" x14ac:dyDescent="0.25">
      <c r="B22" s="68">
        <v>0.25</v>
      </c>
      <c r="C22" s="69">
        <f ca="1">EXP(-B21*Spread/(1-Rec))-EXP(-B22*Spread/(1-Rec))</f>
        <v>6.2046029301133787E-3</v>
      </c>
      <c r="D22" s="43">
        <f ca="1">(1-EXP(-(HazardRate+IRate)*(5-B22)))/(HazardRate+IRate)</f>
        <v>4.2280621803784664</v>
      </c>
      <c r="E22" s="70">
        <f ca="1">CDSSpread*SpreadVol*SQRT(B22)</f>
        <v>5.0000000000000001E-3</v>
      </c>
      <c r="F22" s="70">
        <f t="shared" ca="1" si="0"/>
        <v>1.2104197441833178E-2</v>
      </c>
      <c r="G22" s="71">
        <f t="shared" ca="1" si="1"/>
        <v>4.9179717323179634E-2</v>
      </c>
      <c r="I22" s="8"/>
      <c r="J22" s="10"/>
      <c r="K22" s="10"/>
      <c r="L22" s="15"/>
      <c r="M22" s="7"/>
      <c r="N22" s="13"/>
      <c r="O22" s="14"/>
    </row>
    <row r="23" spans="2:15" ht="15" x14ac:dyDescent="0.25">
      <c r="B23" s="68">
        <f t="shared" ref="B23:B41" ca="1" si="2">B22+0.25</f>
        <v>0.5</v>
      </c>
      <c r="C23" s="69">
        <f ca="1">EXP(-B22*Spread/(1-Rec))-EXP(-B23*Spread/(1-Rec))</f>
        <v>1.0255217583756471E-2</v>
      </c>
      <c r="D23" s="43">
        <f ca="1">(1-EXP(-(HazardRate+IRate)*(5-B23)))/(HazardRate+IRate)</f>
        <v>4.0296756248124588</v>
      </c>
      <c r="E23" s="70">
        <f ca="1">CDSSpread*SpreadVol*SQRT(B23)</f>
        <v>7.0710678118654762E-3</v>
      </c>
      <c r="F23" s="70">
        <f t="shared" ca="1" si="0"/>
        <v>1.7404059375426027E-2</v>
      </c>
      <c r="G23" s="71">
        <f t="shared" ca="1" si="1"/>
        <v>0.6</v>
      </c>
      <c r="I23" s="8"/>
      <c r="J23" s="10"/>
      <c r="K23" s="10"/>
      <c r="L23" s="15"/>
      <c r="M23" s="7"/>
      <c r="N23" s="13"/>
      <c r="O23" s="14"/>
    </row>
    <row r="24" spans="2:15" ht="15" x14ac:dyDescent="0.25">
      <c r="B24" s="68">
        <f t="shared" ca="1" si="2"/>
        <v>0.75</v>
      </c>
      <c r="C24" s="69">
        <f ca="1">EXP(-B23*Spread/(1-Rec))-EXP(-B24*Spread/(1-Rec))</f>
        <v>1.0148946854895979E-2</v>
      </c>
      <c r="D24" s="43">
        <f ca="1">(1-EXP(-(HazardRate+IRate)*(5-B24)))/(HazardRate+IRate)</f>
        <v>3.8287936735709516</v>
      </c>
      <c r="E24" s="70">
        <f ca="1">CDSSpread*SpreadVol*SQRT(B24)</f>
        <v>8.6602540378443865E-3</v>
      </c>
      <c r="F24" s="70">
        <f t="shared" ca="1" si="0"/>
        <v>1.9183373361633352E-2</v>
      </c>
      <c r="G24" s="71">
        <f t="shared" ca="1" si="1"/>
        <v>0.6</v>
      </c>
      <c r="I24" s="8"/>
      <c r="J24" s="10"/>
      <c r="K24" s="10"/>
      <c r="L24" s="15"/>
      <c r="M24" s="7"/>
      <c r="N24" s="13"/>
      <c r="O24" s="14"/>
    </row>
    <row r="25" spans="2:15" ht="15" x14ac:dyDescent="0.25">
      <c r="B25" s="68">
        <f t="shared" ca="1" si="2"/>
        <v>1</v>
      </c>
      <c r="C25" s="69">
        <f ca="1">EXP(-B24*Spread/(1-Rec))-EXP(-B25*Spread/(1-Rec))</f>
        <v>1.0043777367205964E-2</v>
      </c>
      <c r="D25" s="43">
        <f ca="1">(1-EXP(-(HazardRate+IRate)*(5-B25)))/(HazardRate+IRate)</f>
        <v>3.6253849384403636</v>
      </c>
      <c r="E25" s="70">
        <f ca="1">CDSSpread*SpreadVol*SQRT(B25)</f>
        <v>0.01</v>
      </c>
      <c r="F25" s="70">
        <f t="shared" ca="1" si="0"/>
        <v>2.0344194673074092E-2</v>
      </c>
      <c r="G25" s="71">
        <f t="shared" ca="1" si="1"/>
        <v>0.6</v>
      </c>
      <c r="I25" s="8"/>
      <c r="J25" s="10"/>
      <c r="K25" s="10"/>
      <c r="L25" s="15"/>
      <c r="M25" s="7"/>
      <c r="N25" s="13"/>
      <c r="O25" s="14"/>
    </row>
    <row r="26" spans="2:15" ht="15" x14ac:dyDescent="0.25">
      <c r="B26" s="68">
        <f t="shared" ca="1" si="2"/>
        <v>1.25</v>
      </c>
      <c r="C26" s="69">
        <f ca="1">EXP(-B25*Spread/(1-Rec))-EXP(-B26*Spread/(1-Rec))</f>
        <v>9.939697708962969E-3</v>
      </c>
      <c r="D26" s="43">
        <f ca="1">(1-EXP(-(HazardRate+IRate)*(5-B26)))/(HazardRate+IRate)</f>
        <v>3.4194176363919926</v>
      </c>
      <c r="E26" s="70">
        <f ca="1">CDSSpread*SpreadVol*SQRT(B26)</f>
        <v>1.1180339887498949E-2</v>
      </c>
      <c r="F26" s="70">
        <f t="shared" ca="1" si="0"/>
        <v>2.1063885369644781E-2</v>
      </c>
      <c r="G26" s="71">
        <f t="shared" ca="1" si="1"/>
        <v>8.8936864050223358E-2</v>
      </c>
      <c r="I26" s="8"/>
      <c r="J26" s="10"/>
      <c r="K26" s="10"/>
      <c r="L26" s="15"/>
      <c r="M26" s="7"/>
      <c r="N26" s="13"/>
      <c r="O26" s="14"/>
    </row>
    <row r="27" spans="2:15" ht="15" x14ac:dyDescent="0.25">
      <c r="B27" s="68">
        <f t="shared" ca="1" si="2"/>
        <v>1.5</v>
      </c>
      <c r="C27" s="69">
        <f ca="1">EXP(-B26*Spread/(1-Rec))-EXP(-B27*Spread/(1-Rec))</f>
        <v>9.8366965866993894E-3</v>
      </c>
      <c r="D27" s="43">
        <f ca="1">(1-EXP(-(HazardRate+IRate)*(5-B27)))/(HazardRate+IRate)</f>
        <v>3.2108595846158527</v>
      </c>
      <c r="E27" s="70">
        <f ca="1">CDSSpread*SpreadVol*SQRT(B27)</f>
        <v>1.2247448713915889E-2</v>
      </c>
      <c r="F27" s="70">
        <f t="shared" ca="1" si="0"/>
        <v>2.1436037089853671E-2</v>
      </c>
      <c r="G27" s="71">
        <f t="shared" ca="1" si="1"/>
        <v>9.1483253488062438E-2</v>
      </c>
      <c r="I27" s="8"/>
      <c r="J27" s="10"/>
      <c r="K27" s="10"/>
      <c r="L27" s="15"/>
      <c r="M27" s="7"/>
      <c r="N27" s="13"/>
      <c r="O27" s="14"/>
    </row>
    <row r="28" spans="2:15" ht="15" x14ac:dyDescent="0.25">
      <c r="B28" s="68">
        <f t="shared" ca="1" si="2"/>
        <v>1.75</v>
      </c>
      <c r="C28" s="69">
        <f ca="1">EXP(-B27*Spread/(1-Rec))-EXP(-B28*Spread/(1-Rec))</f>
        <v>9.7347628239773387E-3</v>
      </c>
      <c r="D28" s="43">
        <f ca="1">(1-EXP(-(HazardRate+IRate)*(5-B28)))/(HazardRate+IRate)</f>
        <v>2.9996781954920371</v>
      </c>
      <c r="E28" s="70">
        <f ca="1">CDSSpread*SpreadVol*SQRT(B28)</f>
        <v>1.3228756555322954E-2</v>
      </c>
      <c r="F28" s="70">
        <f t="shared" ca="1" si="0"/>
        <v>2.1517580888332461E-2</v>
      </c>
      <c r="G28" s="71">
        <f t="shared" ca="1" si="1"/>
        <v>9.2314165632165185E-2</v>
      </c>
      <c r="I28" s="8"/>
      <c r="J28" s="10"/>
      <c r="K28" s="10"/>
      <c r="L28" s="15"/>
      <c r="M28" s="7"/>
      <c r="N28" s="13"/>
      <c r="O28" s="14"/>
    </row>
    <row r="29" spans="2:15" ht="15" x14ac:dyDescent="0.25">
      <c r="B29" s="68">
        <f t="shared" ca="1" si="2"/>
        <v>2</v>
      </c>
      <c r="C29" s="69">
        <f ca="1">EXP(-B28*Spread/(1-Rec))-EXP(-B29*Spread/(1-Rec))</f>
        <v>9.6338853601751762E-3</v>
      </c>
      <c r="D29" s="43">
        <f ca="1">(1-EXP(-(HazardRate+IRate)*(5-B29)))/(HazardRate+IRate)</f>
        <v>2.7858404714988438</v>
      </c>
      <c r="E29" s="70">
        <f ca="1">CDSSpread*SpreadVol*SQRT(B29)</f>
        <v>1.4142135623730952E-2</v>
      </c>
      <c r="F29" s="70">
        <f t="shared" ca="1" si="0"/>
        <v>2.134633313121935E-2</v>
      </c>
      <c r="G29" s="71">
        <f t="shared" ca="1" si="1"/>
        <v>9.1652834207207365E-2</v>
      </c>
      <c r="I29" s="8"/>
      <c r="J29" s="10"/>
      <c r="K29" s="10"/>
      <c r="L29" s="15"/>
      <c r="M29" s="7"/>
      <c r="N29" s="13"/>
      <c r="O29" s="14"/>
    </row>
    <row r="30" spans="2:15" ht="15" x14ac:dyDescent="0.25">
      <c r="B30" s="68">
        <f t="shared" ca="1" si="2"/>
        <v>2.25</v>
      </c>
      <c r="C30" s="69">
        <f ca="1">EXP(-B29*Spread/(1-Rec))-EXP(-B30*Spread/(1-Rec))</f>
        <v>9.5340532492891317E-3</v>
      </c>
      <c r="D30" s="43">
        <f ca="1">(1-EXP(-(HazardRate+IRate)*(5-B30)))/(HazardRate+IRate)</f>
        <v>2.5693130000568432</v>
      </c>
      <c r="E30" s="70">
        <f ca="1">CDSSpread*SpreadVol*SQRT(B30)</f>
        <v>1.4999999999999999E-2</v>
      </c>
      <c r="F30" s="70">
        <f t="shared" ca="1" si="0"/>
        <v>2.0948958605414569E-2</v>
      </c>
      <c r="G30" s="71">
        <f t="shared" ca="1" si="1"/>
        <v>8.9656737531415967E-2</v>
      </c>
      <c r="I30" s="8"/>
      <c r="J30" s="10"/>
      <c r="K30" s="10"/>
      <c r="L30" s="15"/>
      <c r="M30" s="7"/>
      <c r="N30" s="13"/>
      <c r="O30" s="14"/>
    </row>
    <row r="31" spans="2:15" ht="15" x14ac:dyDescent="0.25">
      <c r="B31" s="68">
        <f t="shared" ca="1" si="2"/>
        <v>2.5</v>
      </c>
      <c r="C31" s="69">
        <f ca="1">EXP(-B30*Spread/(1-Rec))-EXP(-B31*Spread/(1-Rec))</f>
        <v>9.435255658743591E-3</v>
      </c>
      <c r="D31" s="43">
        <f ca="1">(1-EXP(-(HazardRate+IRate)*(5-B31)))/(HazardRate+IRate)</f>
        <v>2.3500619483080909</v>
      </c>
      <c r="E31" s="70">
        <f ca="1">CDSSpread*SpreadVol*SQRT(B31)</f>
        <v>1.5811388300841899E-2</v>
      </c>
      <c r="F31" s="70">
        <f t="shared" ca="1" si="0"/>
        <v>2.0345081432289969E-2</v>
      </c>
      <c r="G31" s="71">
        <f t="shared" ca="1" si="1"/>
        <v>8.6441834095929829E-2</v>
      </c>
      <c r="I31" s="8"/>
      <c r="J31" s="10"/>
      <c r="K31" s="10"/>
      <c r="L31" s="15"/>
      <c r="M31" s="7"/>
      <c r="N31" s="13"/>
      <c r="O31" s="14"/>
    </row>
    <row r="32" spans="2:15" ht="15" x14ac:dyDescent="0.25">
      <c r="B32" s="68">
        <f t="shared" ca="1" si="2"/>
        <v>2.75</v>
      </c>
      <c r="C32" s="69">
        <f ca="1">EXP(-B31*Spread/(1-Rec))-EXP(-B32*Spread/(1-Rec))</f>
        <v>9.3374818682170346E-3</v>
      </c>
      <c r="D32" s="43">
        <f ca="1">(1-EXP(-(HazardRate+IRate)*(5-B32)))/(HazardRate+IRate)</f>
        <v>2.1280530578296863</v>
      </c>
      <c r="E32" s="70">
        <f ca="1">CDSSpread*SpreadVol*SQRT(B32)</f>
        <v>1.6583123951776999E-2</v>
      </c>
      <c r="F32" s="70">
        <f t="shared" ca="1" si="0"/>
        <v>1.9549611006674791E-2</v>
      </c>
      <c r="G32" s="71">
        <f t="shared" ca="1" si="1"/>
        <v>8.2096275910629637E-2</v>
      </c>
      <c r="I32" s="8"/>
      <c r="J32" s="10"/>
      <c r="K32" s="10"/>
      <c r="L32" s="15"/>
      <c r="M32" s="7"/>
      <c r="N32" s="13"/>
      <c r="O32" s="14"/>
    </row>
    <row r="33" spans="2:15" ht="15" x14ac:dyDescent="0.25">
      <c r="B33" s="68">
        <f t="shared" ca="1" si="2"/>
        <v>3</v>
      </c>
      <c r="C33" s="69">
        <f ca="1">EXP(-B32*Spread/(1-Rec))-EXP(-B33*Spread/(1-Rec))</f>
        <v>9.2407212684781914E-3</v>
      </c>
      <c r="D33" s="43">
        <f ca="1">(1-EXP(-(HazardRate+IRate)*(5-B33)))/(HazardRate+IRate)</f>
        <v>1.9032516392808096</v>
      </c>
      <c r="E33" s="70">
        <f ca="1">CDSSpread*SpreadVol*SQRT(B33)</f>
        <v>1.7320508075688773E-2</v>
      </c>
      <c r="F33" s="70">
        <f t="shared" ca="1" si="0"/>
        <v>1.8574151888160372E-2</v>
      </c>
      <c r="G33" s="71">
        <f t="shared" ca="1" si="1"/>
        <v>7.6688721580061153E-2</v>
      </c>
      <c r="I33" s="8"/>
      <c r="J33" s="10"/>
      <c r="K33" s="10"/>
      <c r="L33" s="15"/>
      <c r="M33" s="7"/>
      <c r="N33" s="13"/>
      <c r="O33" s="14"/>
    </row>
    <row r="34" spans="2:15" ht="15" x14ac:dyDescent="0.25">
      <c r="B34" s="68">
        <f t="shared" ca="1" si="2"/>
        <v>3.25</v>
      </c>
      <c r="C34" s="69">
        <f ca="1">EXP(-B33*Spread/(1-Rec))-EXP(-B34*Spread/(1-Rec))</f>
        <v>9.144963360235181E-3</v>
      </c>
      <c r="D34" s="43">
        <f ca="1">(1-EXP(-(HazardRate+IRate)*(5-B34)))/(HazardRate+IRate)</f>
        <v>1.6756225669824487</v>
      </c>
      <c r="E34" s="70">
        <f ca="1">CDSSpread*SpreadVol*SQRT(B34)</f>
        <v>1.8027756377319945E-2</v>
      </c>
      <c r="F34" s="70">
        <f t="shared" ca="1" si="0"/>
        <v>1.7427905703798409E-2</v>
      </c>
      <c r="G34" s="71">
        <f t="shared" ca="1" si="1"/>
        <v>7.0273654542060193E-2</v>
      </c>
      <c r="I34" s="8"/>
      <c r="J34" s="10"/>
      <c r="K34" s="10"/>
      <c r="L34" s="15"/>
      <c r="M34" s="7"/>
      <c r="N34" s="13"/>
      <c r="O34" s="14"/>
    </row>
    <row r="35" spans="2:15" ht="15" x14ac:dyDescent="0.25">
      <c r="B35" s="68">
        <f t="shared" ca="1" si="2"/>
        <v>3.5</v>
      </c>
      <c r="C35" s="69">
        <f ca="1">EXP(-B34*Spread/(1-Rec))-EXP(-B35*Spread/(1-Rec))</f>
        <v>9.050197752996203E-3</v>
      </c>
      <c r="D35" s="43">
        <f ca="1">(1-EXP(-(HazardRate+IRate)*(5-B35)))/(HazardRate+IRate)</f>
        <v>1.4451302734289428</v>
      </c>
      <c r="E35" s="70">
        <f ca="1">CDSSpread*SpreadVol*SQRT(B35)</f>
        <v>1.8708286933869708E-2</v>
      </c>
      <c r="F35" s="70">
        <f t="shared" ca="1" si="0"/>
        <v>1.6118273626727873E-2</v>
      </c>
      <c r="G35" s="71">
        <f t="shared" ca="1" si="1"/>
        <v>6.2894935966904861E-2</v>
      </c>
      <c r="I35" s="8"/>
      <c r="J35" s="10"/>
      <c r="K35" s="10"/>
      <c r="L35" s="15"/>
      <c r="M35" s="7"/>
      <c r="N35" s="13"/>
      <c r="O35" s="14"/>
    </row>
    <row r="36" spans="2:15" ht="15" x14ac:dyDescent="0.25">
      <c r="B36" s="68">
        <f t="shared" ca="1" si="2"/>
        <v>3.75</v>
      </c>
      <c r="C36" s="69">
        <f ca="1">EXP(-B35*Spread/(1-Rec))-EXP(-B36*Spread/(1-Rec))</f>
        <v>8.9564141639414396E-3</v>
      </c>
      <c r="D36" s="43">
        <f ca="1">(1-EXP(-(HazardRate+IRate)*(5-B36)))/(HazardRate+IRate)</f>
        <v>1.2117387437304838</v>
      </c>
      <c r="E36" s="70">
        <f ca="1">CDSSpread*SpreadVol*SQRT(B36)</f>
        <v>1.9364916731037084E-2</v>
      </c>
      <c r="F36" s="70">
        <f t="shared" ca="1" si="0"/>
        <v>1.4651273428039803E-2</v>
      </c>
      <c r="G36" s="71">
        <f t="shared" ca="1" si="1"/>
        <v>5.4588264363389351E-2</v>
      </c>
      <c r="I36" s="8"/>
      <c r="J36" s="10"/>
      <c r="K36" s="10"/>
      <c r="L36" s="15"/>
      <c r="M36" s="7"/>
      <c r="N36" s="13"/>
      <c r="O36" s="14"/>
    </row>
    <row r="37" spans="2:15" ht="15" x14ac:dyDescent="0.25">
      <c r="B37" s="68">
        <f t="shared" ca="1" si="2"/>
        <v>4</v>
      </c>
      <c r="C37" s="69">
        <f ca="1">EXP(-B36*Spread/(1-Rec))-EXP(-B37*Spread/(1-Rec))</f>
        <v>8.8636024168085026E-3</v>
      </c>
      <c r="D37" s="43">
        <f ca="1">(1-EXP(-(HazardRate+IRate)*(5-B37)))/(HazardRate+IRate)</f>
        <v>0.97541150998571968</v>
      </c>
      <c r="E37" s="70">
        <f ca="1">CDSSpread*SpreadVol*SQRT(B37)</f>
        <v>0.02</v>
      </c>
      <c r="F37" s="70">
        <f t="shared" ca="1" si="0"/>
        <v>1.3031836907693547E-2</v>
      </c>
      <c r="G37" s="71">
        <f t="shared" ca="1" si="1"/>
        <v>4.5382929851404914E-2</v>
      </c>
      <c r="I37" s="8"/>
      <c r="J37" s="10"/>
      <c r="K37" s="10"/>
      <c r="L37" s="15"/>
      <c r="M37" s="7"/>
      <c r="N37" s="13"/>
      <c r="O37" s="14"/>
    </row>
    <row r="38" spans="2:15" ht="15" x14ac:dyDescent="0.25">
      <c r="B38" s="68">
        <f t="shared" ca="1" si="2"/>
        <v>4.25</v>
      </c>
      <c r="C38" s="69">
        <f ca="1">EXP(-B37*Spread/(1-Rec))-EXP(-B38*Spread/(1-Rec))</f>
        <v>8.771752440786984E-3</v>
      </c>
      <c r="D38" s="43">
        <f ca="1">(1-EXP(-(HazardRate+IRate)*(5-B38)))/(HazardRate+IRate)</f>
        <v>0.73611164558356368</v>
      </c>
      <c r="E38" s="70">
        <f ca="1">CDSSpread*SpreadVol*SQRT(B38)</f>
        <v>2.0615528128088305E-2</v>
      </c>
      <c r="F38" s="70">
        <f t="shared" ca="1" si="0"/>
        <v>1.1264027455318067E-2</v>
      </c>
      <c r="G38" s="71">
        <f t="shared" ca="1" si="1"/>
        <v>3.5303097462558233E-2</v>
      </c>
      <c r="I38" s="8"/>
      <c r="J38" s="10"/>
      <c r="K38" s="10"/>
      <c r="L38" s="15"/>
      <c r="M38" s="7"/>
      <c r="N38" s="13"/>
      <c r="O38" s="14"/>
    </row>
    <row r="39" spans="2:15" ht="15" x14ac:dyDescent="0.25">
      <c r="B39" s="68">
        <f t="shared" ca="1" si="2"/>
        <v>4.5</v>
      </c>
      <c r="C39" s="69">
        <f ca="1">EXP(-B38*Spread/(1-Rec))-EXP(-B39*Spread/(1-Rec))</f>
        <v>8.6808542694266633E-3</v>
      </c>
      <c r="D39" s="43">
        <f ca="1">(1-EXP(-(HazardRate+IRate)*(5-B39)))/(HazardRate+IRate)</f>
        <v>0.4938017594333477</v>
      </c>
      <c r="E39" s="70">
        <f ca="1">CDSSpread*SpreadVol*SQRT(B39)</f>
        <v>2.1213203435596423E-2</v>
      </c>
      <c r="F39" s="70">
        <f t="shared" ca="1" si="0"/>
        <v>9.3512026921068019E-3</v>
      </c>
      <c r="G39" s="71">
        <f t="shared" ca="1" si="1"/>
        <v>2.4368766581358791E-2</v>
      </c>
      <c r="I39" s="8"/>
      <c r="J39" s="10"/>
      <c r="K39" s="10"/>
      <c r="L39" s="15"/>
      <c r="M39" s="7"/>
      <c r="N39" s="13"/>
      <c r="O39" s="14"/>
    </row>
    <row r="40" spans="2:15" ht="15" x14ac:dyDescent="0.25">
      <c r="B40" s="68">
        <f t="shared" ca="1" si="2"/>
        <v>4.75</v>
      </c>
      <c r="C40" s="69">
        <f ca="1">EXP(-B39*Spread/(1-Rec))-EXP(-B40*Spread/(1-Rec))</f>
        <v>8.5908980395557055E-3</v>
      </c>
      <c r="D40" s="43">
        <f ca="1">(1-EXP(-(HazardRate+IRate)*(5-B40)))/(HazardRate+IRate)</f>
        <v>0.24844399012237117</v>
      </c>
      <c r="E40" s="70">
        <f ca="1">CDSSpread*SpreadVol*SQRT(B40)</f>
        <v>2.179449471770337E-2</v>
      </c>
      <c r="F40" s="70">
        <f t="shared" ca="1" si="0"/>
        <v>7.2961383790419157E-3</v>
      </c>
      <c r="G40" s="71">
        <f t="shared" ca="1" si="1"/>
        <v>1.2596501959309723E-2</v>
      </c>
      <c r="I40" s="8"/>
      <c r="J40" s="10"/>
      <c r="K40" s="10"/>
      <c r="L40" s="15"/>
      <c r="M40" s="7"/>
      <c r="N40" s="13"/>
      <c r="O40" s="14"/>
    </row>
    <row r="41" spans="2:15" ht="15.6" thickBot="1" x14ac:dyDescent="0.3">
      <c r="B41" s="72">
        <f t="shared" ca="1" si="2"/>
        <v>5</v>
      </c>
      <c r="C41" s="73">
        <f ca="1">EXP(-B40*Spread/(1-Rec))-EXP(-B41*Spread/(1-Rec))</f>
        <v>8.5018739902097407E-3</v>
      </c>
      <c r="D41" s="61">
        <f ca="1">(1-EXP(-(HazardRate+IRate)*(5-B41)))/(HazardRate+IRate)</f>
        <v>0</v>
      </c>
      <c r="E41" s="74">
        <f ca="1">CDSSpread*SpreadVol*SQRT(B41)</f>
        <v>2.2360679774997897E-2</v>
      </c>
      <c r="F41" s="74">
        <f t="shared" ca="1" si="0"/>
        <v>5.1011243941258442E-3</v>
      </c>
      <c r="G41" s="75">
        <f t="shared" ca="1" si="1"/>
        <v>0</v>
      </c>
      <c r="I41" s="8"/>
      <c r="J41" s="10"/>
      <c r="K41" s="10"/>
      <c r="L41" s="15"/>
      <c r="M41" s="7"/>
      <c r="N41" s="13"/>
      <c r="O41" s="14"/>
    </row>
    <row r="42" spans="2:15" ht="15" x14ac:dyDescent="0.25">
      <c r="B42" s="43"/>
      <c r="C42" s="76"/>
      <c r="D42" s="43"/>
      <c r="E42" s="43"/>
      <c r="F42" s="43"/>
      <c r="G42" s="19"/>
      <c r="H42" s="16"/>
      <c r="I42" s="8"/>
    </row>
    <row r="43" spans="2:15" ht="15" x14ac:dyDescent="0.25">
      <c r="B43" s="43"/>
      <c r="C43" s="76"/>
      <c r="D43" s="77"/>
      <c r="E43" s="43"/>
      <c r="F43" s="43"/>
      <c r="G43" s="19"/>
      <c r="H43" s="16"/>
      <c r="I43" s="8"/>
    </row>
    <row r="44" spans="2:15" ht="15" x14ac:dyDescent="0.25">
      <c r="B44" s="43"/>
      <c r="C44" s="76"/>
      <c r="D44" s="43"/>
      <c r="E44" s="25"/>
      <c r="F44" s="25"/>
      <c r="G44" s="19"/>
      <c r="H44" s="16"/>
      <c r="I44" s="8"/>
    </row>
    <row r="45" spans="2:15" ht="15" x14ac:dyDescent="0.25">
      <c r="B45" s="43"/>
      <c r="C45" s="76"/>
      <c r="D45" s="43"/>
      <c r="E45" s="25"/>
      <c r="F45" s="25"/>
      <c r="G45" s="19"/>
      <c r="H45" s="16"/>
      <c r="I45" s="8"/>
    </row>
    <row r="46" spans="2:15" ht="15" x14ac:dyDescent="0.25">
      <c r="B46" s="43"/>
      <c r="C46" s="76"/>
      <c r="D46" s="43"/>
      <c r="E46" s="25"/>
      <c r="F46" s="25"/>
      <c r="G46" s="19"/>
      <c r="H46" s="16"/>
      <c r="I46" s="8"/>
    </row>
    <row r="47" spans="2:15" ht="15" x14ac:dyDescent="0.25">
      <c r="B47" s="43"/>
      <c r="C47" s="76"/>
      <c r="D47" s="43"/>
      <c r="E47" s="25"/>
      <c r="F47" s="25"/>
      <c r="G47" s="19"/>
      <c r="H47" s="16"/>
      <c r="I47" s="8"/>
    </row>
    <row r="48" spans="2:15" ht="15" x14ac:dyDescent="0.25">
      <c r="B48" s="43"/>
      <c r="C48" s="76"/>
      <c r="D48" s="43"/>
      <c r="E48" s="25"/>
      <c r="F48" s="25"/>
      <c r="G48" s="19"/>
      <c r="H48" s="16"/>
      <c r="I48" s="8"/>
    </row>
    <row r="49" spans="2:9" ht="15" x14ac:dyDescent="0.25">
      <c r="B49" s="43"/>
      <c r="C49" s="76"/>
      <c r="D49" s="43"/>
      <c r="E49" s="25"/>
      <c r="F49" s="25"/>
      <c r="G49" s="19"/>
      <c r="H49" s="16"/>
      <c r="I49" s="8"/>
    </row>
    <row r="50" spans="2:9" ht="15" x14ac:dyDescent="0.25">
      <c r="B50" s="43"/>
      <c r="C50" s="76"/>
      <c r="D50" s="43"/>
      <c r="E50" s="25"/>
      <c r="F50" s="25"/>
      <c r="G50" s="19"/>
      <c r="H50" s="16"/>
      <c r="I50" s="8"/>
    </row>
    <row r="51" spans="2:9" ht="15" x14ac:dyDescent="0.25">
      <c r="B51" s="43"/>
      <c r="C51" s="76"/>
      <c r="D51" s="43"/>
      <c r="E51" s="25"/>
      <c r="F51" s="25"/>
      <c r="G51" s="19"/>
      <c r="H51" s="16"/>
      <c r="I51" s="8"/>
    </row>
    <row r="52" spans="2:9" ht="15" x14ac:dyDescent="0.25">
      <c r="B52" s="43"/>
      <c r="C52" s="76"/>
      <c r="D52" s="43"/>
      <c r="E52" s="25"/>
      <c r="F52" s="25"/>
      <c r="G52" s="19"/>
      <c r="H52" s="16"/>
      <c r="I52" s="8"/>
    </row>
    <row r="53" spans="2:9" ht="15" x14ac:dyDescent="0.25">
      <c r="B53" s="43"/>
      <c r="C53" s="76"/>
      <c r="D53" s="43"/>
      <c r="E53" s="25"/>
      <c r="F53" s="25"/>
      <c r="G53" s="19"/>
      <c r="H53" s="16"/>
      <c r="I53" s="8"/>
    </row>
    <row r="54" spans="2:9" ht="15" x14ac:dyDescent="0.25">
      <c r="B54" s="43"/>
      <c r="C54" s="76"/>
      <c r="D54" s="43"/>
      <c r="E54" s="25"/>
      <c r="F54" s="25"/>
      <c r="G54" s="19"/>
      <c r="H54" s="16"/>
      <c r="I54" s="8"/>
    </row>
    <row r="55" spans="2:9" ht="15" x14ac:dyDescent="0.25">
      <c r="B55" s="43"/>
      <c r="C55" s="76"/>
      <c r="D55" s="43"/>
      <c r="E55" s="25"/>
      <c r="F55" s="25"/>
      <c r="G55" s="19"/>
      <c r="H55" s="16"/>
      <c r="I55" s="8"/>
    </row>
    <row r="56" spans="2:9" ht="15" x14ac:dyDescent="0.25">
      <c r="B56" s="43"/>
      <c r="C56" s="76"/>
      <c r="D56" s="43"/>
      <c r="E56" s="25"/>
      <c r="F56" s="25"/>
      <c r="G56" s="19"/>
      <c r="H56" s="16"/>
      <c r="I56" s="8"/>
    </row>
    <row r="57" spans="2:9" ht="15" x14ac:dyDescent="0.25">
      <c r="B57" s="43"/>
      <c r="C57" s="76"/>
      <c r="D57" s="43"/>
      <c r="E57" s="25"/>
      <c r="F57" s="25"/>
      <c r="G57" s="19"/>
      <c r="H57" s="16"/>
      <c r="I57" s="8"/>
    </row>
    <row r="58" spans="2:9" ht="15" x14ac:dyDescent="0.25">
      <c r="B58" s="43"/>
      <c r="C58" s="76"/>
      <c r="D58" s="43"/>
      <c r="E58" s="25"/>
      <c r="F58" s="25"/>
      <c r="G58" s="19"/>
      <c r="H58" s="16"/>
      <c r="I58" s="8"/>
    </row>
    <row r="59" spans="2:9" ht="15" x14ac:dyDescent="0.25">
      <c r="B59" s="43"/>
      <c r="C59" s="76"/>
      <c r="D59" s="43"/>
      <c r="E59" s="25"/>
      <c r="F59" s="25"/>
      <c r="G59" s="19"/>
      <c r="H59" s="16"/>
      <c r="I59" s="8"/>
    </row>
    <row r="60" spans="2:9" ht="15" x14ac:dyDescent="0.25">
      <c r="B60" s="43"/>
      <c r="C60" s="76"/>
      <c r="D60" s="43"/>
      <c r="E60" s="25"/>
      <c r="F60" s="25"/>
      <c r="G60" s="19"/>
      <c r="H60" s="16"/>
      <c r="I60" s="8"/>
    </row>
    <row r="61" spans="2:9" ht="15" x14ac:dyDescent="0.25">
      <c r="B61" s="43"/>
      <c r="C61" s="76"/>
      <c r="D61" s="43"/>
      <c r="E61" s="25"/>
      <c r="F61" s="25"/>
      <c r="G61" s="19"/>
      <c r="H61" s="16"/>
      <c r="I61" s="8"/>
    </row>
    <row r="62" spans="2:9" ht="15" x14ac:dyDescent="0.25">
      <c r="B62" s="43"/>
      <c r="C62" s="76"/>
      <c r="D62" s="43"/>
      <c r="E62" s="25"/>
      <c r="F62" s="25"/>
      <c r="G62" s="19"/>
      <c r="H62" s="16"/>
      <c r="I62" s="8"/>
    </row>
    <row r="63" spans="2:9" ht="15" x14ac:dyDescent="0.25">
      <c r="B63" s="43"/>
      <c r="C63" s="76"/>
      <c r="D63" s="43"/>
      <c r="E63" s="25"/>
      <c r="F63" s="25"/>
      <c r="G63" s="19"/>
      <c r="H63" s="16"/>
      <c r="I63" s="8"/>
    </row>
    <row r="64" spans="2:9" ht="15" x14ac:dyDescent="0.25">
      <c r="B64" s="43"/>
      <c r="C64" s="76"/>
      <c r="D64" s="43"/>
      <c r="E64" s="25"/>
      <c r="F64" s="25"/>
      <c r="G64" s="19"/>
      <c r="H64" s="16"/>
      <c r="I64" s="8"/>
    </row>
    <row r="65" spans="2:9" ht="15" x14ac:dyDescent="0.25">
      <c r="B65" s="43"/>
      <c r="C65" s="76"/>
      <c r="D65" s="43"/>
      <c r="E65" s="25"/>
      <c r="F65" s="25"/>
      <c r="G65" s="19"/>
      <c r="H65" s="16"/>
      <c r="I65" s="8"/>
    </row>
    <row r="66" spans="2:9" ht="15" x14ac:dyDescent="0.25">
      <c r="B66" s="43"/>
      <c r="C66" s="76"/>
      <c r="D66" s="43"/>
      <c r="E66" s="25"/>
      <c r="F66" s="25"/>
      <c r="G66" s="19"/>
      <c r="H66" s="16"/>
      <c r="I66" s="8"/>
    </row>
    <row r="67" spans="2:9" ht="15" x14ac:dyDescent="0.25">
      <c r="B67" s="43"/>
      <c r="C67" s="76"/>
      <c r="D67" s="43"/>
      <c r="E67" s="25"/>
      <c r="F67" s="25"/>
      <c r="G67" s="19"/>
      <c r="H67" s="16"/>
      <c r="I67" s="8"/>
    </row>
    <row r="68" spans="2:9" ht="15" x14ac:dyDescent="0.25">
      <c r="B68" s="43"/>
      <c r="C68" s="76"/>
      <c r="D68" s="43"/>
      <c r="E68" s="25"/>
      <c r="F68" s="25"/>
      <c r="G68" s="19"/>
      <c r="H68" s="16"/>
      <c r="I68" s="8"/>
    </row>
    <row r="69" spans="2:9" ht="15" x14ac:dyDescent="0.25">
      <c r="B69" s="43"/>
      <c r="C69" s="76"/>
      <c r="D69" s="43"/>
      <c r="E69" s="25"/>
      <c r="F69" s="25"/>
      <c r="G69" s="19"/>
      <c r="H69" s="16"/>
      <c r="I69" s="8"/>
    </row>
    <row r="70" spans="2:9" ht="15" x14ac:dyDescent="0.25">
      <c r="B70" s="43"/>
      <c r="C70" s="25"/>
      <c r="D70" s="25"/>
      <c r="E70" s="25"/>
      <c r="F70" s="25"/>
      <c r="G70" s="19"/>
      <c r="H70" s="16"/>
      <c r="I70" s="8"/>
    </row>
    <row r="71" spans="2:9" ht="15" x14ac:dyDescent="0.25">
      <c r="B71" s="43"/>
      <c r="C71" s="25"/>
      <c r="D71" s="25"/>
      <c r="E71" s="25"/>
      <c r="F71" s="25"/>
      <c r="G71" s="19"/>
      <c r="H71" s="16"/>
      <c r="I71" s="8"/>
    </row>
    <row r="72" spans="2:9" ht="15" x14ac:dyDescent="0.25">
      <c r="B72" s="43"/>
      <c r="C72" s="25"/>
      <c r="D72" s="25"/>
      <c r="E72" s="25"/>
      <c r="F72" s="25"/>
      <c r="G72" s="19"/>
      <c r="H72" s="16"/>
      <c r="I72" s="8"/>
    </row>
    <row r="73" spans="2:9" ht="15" x14ac:dyDescent="0.25">
      <c r="B73" s="43"/>
      <c r="C73" s="25"/>
      <c r="D73" s="25"/>
      <c r="E73" s="25"/>
      <c r="F73" s="25"/>
      <c r="G73" s="19"/>
      <c r="H73" s="16"/>
      <c r="I73" s="8"/>
    </row>
    <row r="74" spans="2:9" ht="15" x14ac:dyDescent="0.25">
      <c r="B74" s="43"/>
      <c r="C74" s="25"/>
      <c r="D74" s="25"/>
      <c r="E74" s="25"/>
      <c r="F74" s="25"/>
      <c r="G74" s="19"/>
      <c r="H74" s="16"/>
      <c r="I74" s="8"/>
    </row>
    <row r="75" spans="2:9" ht="15" x14ac:dyDescent="0.25">
      <c r="B75" s="43"/>
      <c r="C75" s="25"/>
      <c r="D75" s="25"/>
      <c r="E75" s="25"/>
      <c r="F75" s="25"/>
      <c r="G75" s="19"/>
      <c r="H75" s="16"/>
      <c r="I75" s="8"/>
    </row>
    <row r="76" spans="2:9" ht="15" x14ac:dyDescent="0.25">
      <c r="B76" s="43"/>
      <c r="C76" s="25"/>
      <c r="D76" s="25"/>
      <c r="E76" s="25"/>
      <c r="F76" s="25"/>
      <c r="G76" s="19"/>
      <c r="H76" s="16"/>
      <c r="I76" s="8"/>
    </row>
    <row r="77" spans="2:9" ht="15" x14ac:dyDescent="0.25">
      <c r="B77" s="43"/>
      <c r="C77" s="25"/>
      <c r="D77" s="25"/>
      <c r="E77" s="25"/>
      <c r="F77" s="25"/>
      <c r="G77" s="19"/>
      <c r="H77" s="16"/>
      <c r="I77" s="8"/>
    </row>
    <row r="78" spans="2:9" ht="15" x14ac:dyDescent="0.25">
      <c r="B78" s="43"/>
      <c r="C78" s="25"/>
      <c r="D78" s="25"/>
      <c r="E78" s="25"/>
      <c r="F78" s="25"/>
      <c r="G78" s="19"/>
      <c r="H78" s="16"/>
      <c r="I78" s="8"/>
    </row>
    <row r="79" spans="2:9" ht="15" x14ac:dyDescent="0.25">
      <c r="B79" s="43"/>
      <c r="C79" s="25"/>
      <c r="D79" s="25"/>
      <c r="E79" s="25"/>
      <c r="F79" s="25"/>
      <c r="G79" s="19"/>
      <c r="H79" s="16"/>
      <c r="I79" s="8"/>
    </row>
    <row r="80" spans="2:9" ht="15" x14ac:dyDescent="0.25">
      <c r="B80" s="43"/>
      <c r="C80" s="25"/>
      <c r="D80" s="25"/>
      <c r="E80" s="25"/>
      <c r="F80" s="25"/>
      <c r="G80" s="19"/>
      <c r="H80" s="16"/>
      <c r="I80" s="8"/>
    </row>
    <row r="81" spans="2:9" ht="15" x14ac:dyDescent="0.25">
      <c r="B81" s="43"/>
      <c r="C81" s="25"/>
      <c r="D81" s="25"/>
      <c r="E81" s="25"/>
      <c r="F81" s="25"/>
      <c r="G81" s="19"/>
      <c r="H81" s="16"/>
      <c r="I81" s="8"/>
    </row>
    <row r="82" spans="2:9" x14ac:dyDescent="0.25">
      <c r="B82" s="43"/>
      <c r="C82" s="25"/>
      <c r="D82" s="25"/>
      <c r="E82" s="25"/>
      <c r="F82" s="25"/>
      <c r="G82" s="19"/>
      <c r="H82" s="16"/>
    </row>
    <row r="83" spans="2:9" x14ac:dyDescent="0.25">
      <c r="B83" s="6"/>
      <c r="G83" s="3"/>
    </row>
    <row r="84" spans="2:9" x14ac:dyDescent="0.25">
      <c r="B84" s="6"/>
      <c r="G84" s="3"/>
    </row>
    <row r="85" spans="2:9" x14ac:dyDescent="0.25">
      <c r="B85" s="6"/>
      <c r="G85" s="3"/>
    </row>
    <row r="86" spans="2:9" x14ac:dyDescent="0.25">
      <c r="B86" s="6"/>
      <c r="G86" s="3"/>
    </row>
    <row r="87" spans="2:9" x14ac:dyDescent="0.25">
      <c r="B87" s="6"/>
      <c r="G87" s="3"/>
    </row>
    <row r="88" spans="2:9" x14ac:dyDescent="0.25">
      <c r="B88" s="6"/>
      <c r="G88" s="3"/>
    </row>
    <row r="89" spans="2:9" x14ac:dyDescent="0.25">
      <c r="B89" s="6"/>
      <c r="G89" s="3"/>
    </row>
    <row r="90" spans="2:9" x14ac:dyDescent="0.25">
      <c r="B90" s="6"/>
      <c r="G90" s="3"/>
    </row>
    <row r="91" spans="2:9" x14ac:dyDescent="0.25">
      <c r="B91" s="6"/>
      <c r="G91" s="3"/>
    </row>
    <row r="92" spans="2:9" x14ac:dyDescent="0.25">
      <c r="G92" s="3"/>
    </row>
    <row r="93" spans="2:9" x14ac:dyDescent="0.25">
      <c r="G93" s="3"/>
    </row>
    <row r="94" spans="2:9" x14ac:dyDescent="0.25">
      <c r="G94" s="3"/>
    </row>
    <row r="95" spans="2:9" x14ac:dyDescent="0.25">
      <c r="G95" s="3"/>
    </row>
    <row r="96" spans="2:9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</sheetData>
  <mergeCells count="1">
    <mergeCell ref="B9:C9"/>
  </mergeCells>
  <pageMargins left="0.75" right="0.75" top="1" bottom="1" header="0.5" footer="0.5"/>
  <pageSetup paperSize="9" orientation="portrait" horizontalDpi="200" verticalDpi="200" copies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N36"/>
  <sheetViews>
    <sheetView showGridLines="0" workbookViewId="0">
      <pane ySplit="7" topLeftCell="A8" activePane="bottomLeft" state="frozen"/>
      <selection pane="bottomLeft" activeCell="E15" sqref="E15"/>
    </sheetView>
  </sheetViews>
  <sheetFormatPr defaultRowHeight="13.2" x14ac:dyDescent="0.25"/>
  <cols>
    <col min="2" max="8" width="10.7773437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2:14" ht="13.8" thickBot="1" x14ac:dyDescent="0.3"/>
    <row r="10" spans="2:14" ht="16.2" customHeight="1" x14ac:dyDescent="0.25">
      <c r="B10" s="17"/>
      <c r="C10" s="120" t="s">
        <v>19</v>
      </c>
      <c r="D10" s="121"/>
      <c r="E10" s="122" t="s">
        <v>45</v>
      </c>
      <c r="F10" s="124"/>
      <c r="G10" s="122" t="s">
        <v>46</v>
      </c>
      <c r="H10" s="123"/>
    </row>
    <row r="11" spans="2:14" x14ac:dyDescent="0.25">
      <c r="B11" s="28"/>
      <c r="C11" s="29" t="s">
        <v>20</v>
      </c>
      <c r="D11" s="30" t="s">
        <v>21</v>
      </c>
      <c r="E11" s="29" t="s">
        <v>22</v>
      </c>
      <c r="F11" s="30" t="s">
        <v>23</v>
      </c>
      <c r="G11" s="29" t="s">
        <v>22</v>
      </c>
      <c r="H11" s="81" t="s">
        <v>23</v>
      </c>
    </row>
    <row r="12" spans="2:14" x14ac:dyDescent="0.25">
      <c r="B12" s="32" t="s">
        <v>24</v>
      </c>
      <c r="C12" s="78">
        <v>50</v>
      </c>
      <c r="D12" s="79">
        <v>15</v>
      </c>
      <c r="E12" s="99">
        <f>MAX(C12,0)+MAX(D12,0)</f>
        <v>65</v>
      </c>
      <c r="F12" s="100">
        <f>MAX(C12+D12,0)</f>
        <v>65</v>
      </c>
      <c r="G12" s="99">
        <f>MIN(C12,0)+MIN(D12,0)</f>
        <v>0</v>
      </c>
      <c r="H12" s="101">
        <f>MIN(C12+D12,0)</f>
        <v>0</v>
      </c>
    </row>
    <row r="13" spans="2:14" x14ac:dyDescent="0.25">
      <c r="B13" s="32" t="s">
        <v>25</v>
      </c>
      <c r="C13" s="34">
        <v>30</v>
      </c>
      <c r="D13" s="35">
        <v>5</v>
      </c>
      <c r="E13" s="102">
        <f t="shared" ref="E13:E16" si="0">MAX(C13,0)+MAX(D13,0)</f>
        <v>35</v>
      </c>
      <c r="F13" s="103">
        <f t="shared" ref="F13:F16" si="1">MAX(C13+D13,0)</f>
        <v>35</v>
      </c>
      <c r="G13" s="102">
        <f>MIN(C13,0)+MIN(D13,0)</f>
        <v>0</v>
      </c>
      <c r="H13" s="104">
        <f t="shared" ref="H13:H16" si="2">MIN(C13+D13,0)</f>
        <v>0</v>
      </c>
    </row>
    <row r="14" spans="2:14" x14ac:dyDescent="0.25">
      <c r="B14" s="32" t="s">
        <v>26</v>
      </c>
      <c r="C14" s="34">
        <v>10</v>
      </c>
      <c r="D14" s="35">
        <v>-5</v>
      </c>
      <c r="E14" s="102">
        <f ca="1">MAX(C14,0)+MAX(D14,0)</f>
        <v>10</v>
      </c>
      <c r="F14" s="103">
        <f t="shared" si="1"/>
        <v>5</v>
      </c>
      <c r="G14" s="102">
        <f>MIN(C14,0)+MIN(D14,0)</f>
        <v>-5</v>
      </c>
      <c r="H14" s="104">
        <f t="shared" si="2"/>
        <v>0</v>
      </c>
    </row>
    <row r="15" spans="2:14" x14ac:dyDescent="0.25">
      <c r="B15" s="32" t="s">
        <v>27</v>
      </c>
      <c r="C15" s="34">
        <v>-10</v>
      </c>
      <c r="D15" s="35">
        <v>-15</v>
      </c>
      <c r="E15" s="102">
        <f t="shared" si="0"/>
        <v>0</v>
      </c>
      <c r="F15" s="103">
        <f t="shared" si="1"/>
        <v>0</v>
      </c>
      <c r="G15" s="102">
        <f>MIN(C15,0)+MIN(D15,0)</f>
        <v>-25</v>
      </c>
      <c r="H15" s="104">
        <f t="shared" si="2"/>
        <v>-25</v>
      </c>
    </row>
    <row r="16" spans="2:14" x14ac:dyDescent="0.25">
      <c r="B16" s="37" t="s">
        <v>28</v>
      </c>
      <c r="C16" s="38">
        <v>-30</v>
      </c>
      <c r="D16" s="39">
        <v>-25</v>
      </c>
      <c r="E16" s="105">
        <f t="shared" si="0"/>
        <v>0</v>
      </c>
      <c r="F16" s="106">
        <f t="shared" si="1"/>
        <v>0</v>
      </c>
      <c r="G16" s="105">
        <f>MIN(C16,0)+MIN(D16,0)</f>
        <v>-55</v>
      </c>
      <c r="H16" s="107">
        <f t="shared" si="2"/>
        <v>-55</v>
      </c>
    </row>
    <row r="17" spans="2:8" x14ac:dyDescent="0.25">
      <c r="B17" s="32" t="s">
        <v>32</v>
      </c>
      <c r="C17" s="34">
        <f>AVERAGE(C12:C16)</f>
        <v>10</v>
      </c>
      <c r="D17" s="35">
        <f>AVERAGE(D12:D16)</f>
        <v>-5</v>
      </c>
      <c r="E17" s="102"/>
      <c r="F17" s="103"/>
      <c r="G17" s="102"/>
      <c r="H17" s="104"/>
    </row>
    <row r="18" spans="2:8" x14ac:dyDescent="0.25">
      <c r="B18" s="32" t="s">
        <v>6</v>
      </c>
      <c r="C18" s="34">
        <f>SUMIF(C12:C16,"&gt;0")/5</f>
        <v>18</v>
      </c>
      <c r="D18" s="35">
        <f t="shared" ref="D18" si="3">SUMIF(D12:D16,"&gt;0")/5</f>
        <v>4</v>
      </c>
      <c r="E18" s="102">
        <f ca="1">SUMIF(E12:E16,"&gt;0")/5</f>
        <v>22</v>
      </c>
      <c r="F18" s="103">
        <f>SUMIF(F12:F16,"&gt;0")/5</f>
        <v>21</v>
      </c>
      <c r="G18" s="102"/>
      <c r="H18" s="104"/>
    </row>
    <row r="19" spans="2:8" ht="13.8" thickBot="1" x14ac:dyDescent="0.3">
      <c r="B19" s="40" t="s">
        <v>33</v>
      </c>
      <c r="C19" s="41">
        <f>SUMIF(C12:C16,"&lt;0")/5</f>
        <v>-8</v>
      </c>
      <c r="D19" s="42">
        <f t="shared" ref="D19" si="4">SUMIF(D12:D16,"&lt;0")/5</f>
        <v>-9</v>
      </c>
      <c r="E19" s="108"/>
      <c r="F19" s="109"/>
      <c r="G19" s="108">
        <f>SUMIF(G12:G16,"&lt;0")/5</f>
        <v>-17</v>
      </c>
      <c r="H19" s="110">
        <f>SUMIF(H12:H16,"&lt;0")/5</f>
        <v>-16</v>
      </c>
    </row>
    <row r="20" spans="2:8" x14ac:dyDescent="0.25">
      <c r="B20" s="6"/>
      <c r="C20" s="6"/>
      <c r="D20" s="6"/>
      <c r="E20" s="6"/>
      <c r="F20" s="6"/>
    </row>
    <row r="21" spans="2:8" x14ac:dyDescent="0.25">
      <c r="B21" s="6"/>
      <c r="C21" s="6"/>
      <c r="D21" s="6"/>
      <c r="E21" s="6"/>
      <c r="F21" s="6"/>
    </row>
    <row r="22" spans="2:8" x14ac:dyDescent="0.25">
      <c r="B22" s="6"/>
      <c r="C22" s="6"/>
      <c r="D22" s="6"/>
      <c r="E22" s="6"/>
      <c r="F22" s="6"/>
    </row>
    <row r="23" spans="2:8" x14ac:dyDescent="0.25">
      <c r="B23" s="6"/>
      <c r="C23" s="6"/>
      <c r="D23" s="6"/>
      <c r="E23" s="6"/>
      <c r="F23" s="6"/>
    </row>
    <row r="24" spans="2:8" x14ac:dyDescent="0.25">
      <c r="B24" s="6"/>
      <c r="C24" s="6"/>
      <c r="D24" s="6"/>
      <c r="E24" s="6"/>
      <c r="F24" s="6"/>
    </row>
    <row r="25" spans="2:8" x14ac:dyDescent="0.25">
      <c r="B25" s="6"/>
      <c r="C25" s="6"/>
      <c r="D25" s="6"/>
      <c r="E25" s="6"/>
      <c r="F25" s="6"/>
    </row>
    <row r="26" spans="2:8" x14ac:dyDescent="0.25">
      <c r="B26" s="6"/>
      <c r="C26" s="6"/>
      <c r="D26" s="6"/>
      <c r="E26" s="6"/>
      <c r="F26" s="6"/>
    </row>
    <row r="27" spans="2:8" x14ac:dyDescent="0.25">
      <c r="B27" s="6"/>
      <c r="C27" s="6"/>
      <c r="D27" s="6"/>
      <c r="E27" s="6"/>
      <c r="F27" s="6"/>
    </row>
    <row r="28" spans="2:8" x14ac:dyDescent="0.25">
      <c r="B28" s="6"/>
      <c r="C28" s="6"/>
      <c r="D28" s="6"/>
      <c r="E28" s="6"/>
      <c r="F28" s="6"/>
    </row>
    <row r="29" spans="2:8" x14ac:dyDescent="0.25">
      <c r="B29" s="6"/>
      <c r="C29" s="6"/>
      <c r="D29" s="6"/>
      <c r="E29" s="6"/>
      <c r="F29" s="6"/>
    </row>
    <row r="30" spans="2:8" x14ac:dyDescent="0.25">
      <c r="B30" s="6"/>
      <c r="C30" s="6"/>
      <c r="D30" s="6"/>
      <c r="E30" s="6"/>
      <c r="F30" s="6"/>
    </row>
    <row r="31" spans="2:8" x14ac:dyDescent="0.25">
      <c r="B31" s="6"/>
      <c r="C31" s="6"/>
      <c r="D31" s="6"/>
      <c r="E31" s="6"/>
      <c r="F31" s="6"/>
    </row>
    <row r="32" spans="2:8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</sheetData>
  <mergeCells count="3">
    <mergeCell ref="C10:D10"/>
    <mergeCell ref="G10:H10"/>
    <mergeCell ref="E10:F10"/>
  </mergeCell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D9E6-E29F-421F-AC0E-0AE89F0AF9F7}">
  <sheetPr codeName="Sheet8"/>
  <dimension ref="B1:N36"/>
  <sheetViews>
    <sheetView showGridLines="0" workbookViewId="0">
      <pane ySplit="7" topLeftCell="A8" activePane="bottomLeft" state="frozen"/>
      <selection pane="bottomLeft" activeCell="F15" sqref="F15"/>
    </sheetView>
  </sheetViews>
  <sheetFormatPr defaultRowHeight="13.2" x14ac:dyDescent="0.25"/>
  <cols>
    <col min="2" max="2" width="19" bestFit="1" customWidth="1"/>
    <col min="3" max="3" width="10.77734375" customWidth="1"/>
    <col min="4" max="4" width="14" bestFit="1" customWidth="1"/>
    <col min="5" max="8" width="10.7773437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2:14" ht="13.8" thickBot="1" x14ac:dyDescent="0.3"/>
    <row r="10" spans="2:14" ht="16.2" customHeight="1" x14ac:dyDescent="0.25">
      <c r="B10" s="84" t="s">
        <v>47</v>
      </c>
      <c r="C10" s="53">
        <v>-20</v>
      </c>
      <c r="D10" s="35"/>
      <c r="E10" s="35"/>
      <c r="F10" s="51"/>
      <c r="G10" s="125"/>
      <c r="H10" s="125"/>
      <c r="I10" s="5"/>
      <c r="J10" s="5"/>
    </row>
    <row r="11" spans="2:14" x14ac:dyDescent="0.25">
      <c r="B11" s="85" t="s">
        <v>48</v>
      </c>
      <c r="C11" s="54">
        <v>-15</v>
      </c>
      <c r="D11" s="35"/>
      <c r="E11" s="35"/>
      <c r="F11" s="51"/>
      <c r="H11" s="51"/>
      <c r="I11" s="5"/>
      <c r="J11" s="5"/>
    </row>
    <row r="12" spans="2:14" x14ac:dyDescent="0.25">
      <c r="B12" s="86" t="s">
        <v>49</v>
      </c>
      <c r="C12" s="55">
        <v>3</v>
      </c>
      <c r="D12" s="82" t="b">
        <v>1</v>
      </c>
      <c r="E12" s="35"/>
      <c r="F12" s="35"/>
      <c r="G12" s="35"/>
      <c r="H12" s="35"/>
      <c r="I12" s="5"/>
      <c r="J12" s="5"/>
    </row>
    <row r="13" spans="2:14" ht="13.8" thickBot="1" x14ac:dyDescent="0.3">
      <c r="B13" s="87" t="s">
        <v>50</v>
      </c>
      <c r="C13" s="88">
        <v>3</v>
      </c>
      <c r="D13" s="83" t="b">
        <v>1</v>
      </c>
      <c r="E13" s="35"/>
      <c r="F13" s="35"/>
      <c r="G13" s="35"/>
      <c r="H13" s="35"/>
      <c r="I13" s="5"/>
      <c r="J13" s="5"/>
    </row>
    <row r="14" spans="2:14" ht="13.8" thickBot="1" x14ac:dyDescent="0.3">
      <c r="B14" s="43"/>
      <c r="C14" s="6"/>
      <c r="D14" s="5"/>
      <c r="E14" s="35"/>
      <c r="F14" s="35"/>
      <c r="G14" s="35"/>
      <c r="H14" s="35"/>
      <c r="I14" s="5"/>
      <c r="J14" s="5"/>
    </row>
    <row r="15" spans="2:14" x14ac:dyDescent="0.25">
      <c r="B15" s="45" t="s">
        <v>45</v>
      </c>
      <c r="C15" s="80">
        <f>MAX(PortfolioValue-VariationMargin-InitialMarginReceived+InitialMarginPosted*IF(PostedIMSeg=FALSE,1,0),0)</f>
        <v>0</v>
      </c>
      <c r="D15" s="5"/>
      <c r="E15" s="5"/>
      <c r="I15" s="5"/>
      <c r="J15" s="5"/>
    </row>
    <row r="16" spans="2:14" x14ac:dyDescent="0.25">
      <c r="B16" s="32" t="s">
        <v>46</v>
      </c>
      <c r="C16" s="111">
        <f>MIN(PortfolioValue-VariationMargin-InitialMarginReceived*IF(RecIMSeg=FALSE,1,0)+InitialMarginPosted,0)</f>
        <v>-2</v>
      </c>
      <c r="E16" s="5"/>
      <c r="I16" s="5"/>
      <c r="J16" s="5"/>
    </row>
    <row r="17" spans="2:10" ht="13.8" thickBot="1" x14ac:dyDescent="0.3">
      <c r="B17" s="40" t="s">
        <v>51</v>
      </c>
      <c r="C17" s="112">
        <f>PortfolioValue-VariationMargin+InitialMarginPosted-InitialMarginReceived*IF(RecIMSeg=FALSE,1,0)</f>
        <v>-2</v>
      </c>
      <c r="E17" s="5"/>
      <c r="I17" s="5"/>
      <c r="J17" s="5"/>
    </row>
    <row r="18" spans="2:10" x14ac:dyDescent="0.25">
      <c r="C18" s="6"/>
      <c r="D18" s="5"/>
      <c r="E18" s="5"/>
      <c r="I18" s="5"/>
      <c r="J18" s="5"/>
    </row>
    <row r="19" spans="2:10" x14ac:dyDescent="0.25">
      <c r="B19" s="43"/>
      <c r="C19" s="33"/>
      <c r="D19" s="33"/>
      <c r="E19" s="35"/>
      <c r="I19" s="5"/>
      <c r="J19" s="5"/>
    </row>
    <row r="20" spans="2:10" x14ac:dyDescent="0.25">
      <c r="B20" s="6"/>
      <c r="C20" s="6"/>
      <c r="D20" s="6"/>
      <c r="E20" s="6"/>
      <c r="I20" s="5"/>
      <c r="J20" s="5"/>
    </row>
    <row r="21" spans="2:10" x14ac:dyDescent="0.25">
      <c r="B21" s="6"/>
      <c r="C21" s="6"/>
      <c r="D21" s="6"/>
      <c r="E21" s="6"/>
      <c r="I21" s="5"/>
      <c r="J21" s="5"/>
    </row>
    <row r="22" spans="2:10" x14ac:dyDescent="0.25">
      <c r="B22" s="6"/>
      <c r="C22" s="6"/>
      <c r="D22" s="6"/>
      <c r="E22" s="6"/>
      <c r="I22" s="5"/>
      <c r="J22" s="5"/>
    </row>
    <row r="23" spans="2:10" x14ac:dyDescent="0.25">
      <c r="B23" s="6"/>
      <c r="C23" s="6"/>
      <c r="D23" s="6"/>
      <c r="E23" s="6"/>
      <c r="I23" s="5"/>
      <c r="J23" s="5"/>
    </row>
    <row r="24" spans="2:10" x14ac:dyDescent="0.25">
      <c r="B24" s="6"/>
      <c r="C24" s="6"/>
      <c r="D24" s="6"/>
      <c r="E24" s="6"/>
      <c r="F24" s="6"/>
    </row>
    <row r="25" spans="2:10" x14ac:dyDescent="0.25">
      <c r="B25" s="6"/>
      <c r="C25" s="6"/>
      <c r="D25" s="6"/>
      <c r="E25" s="6"/>
      <c r="F25" s="6"/>
    </row>
    <row r="26" spans="2:10" x14ac:dyDescent="0.25">
      <c r="B26" s="6"/>
      <c r="C26" s="6"/>
      <c r="D26" s="6"/>
      <c r="E26" s="6"/>
      <c r="F26" s="6"/>
    </row>
    <row r="27" spans="2:10" x14ac:dyDescent="0.25">
      <c r="B27" s="6"/>
      <c r="C27" s="6"/>
      <c r="D27" s="6"/>
      <c r="E27" s="6"/>
      <c r="F27" s="6"/>
    </row>
    <row r="28" spans="2:10" x14ac:dyDescent="0.25">
      <c r="B28" s="6"/>
      <c r="C28" s="6"/>
      <c r="D28" s="6"/>
      <c r="E28" s="6"/>
      <c r="F28" s="6"/>
    </row>
    <row r="29" spans="2:10" x14ac:dyDescent="0.25">
      <c r="B29" s="6"/>
      <c r="C29" s="6"/>
      <c r="D29" s="6"/>
      <c r="E29" s="6"/>
      <c r="F29" s="6"/>
    </row>
    <row r="30" spans="2:10" x14ac:dyDescent="0.25">
      <c r="B30" s="6"/>
      <c r="C30" s="6"/>
      <c r="D30" s="6"/>
      <c r="E30" s="6"/>
      <c r="F30" s="6"/>
    </row>
    <row r="31" spans="2:10" x14ac:dyDescent="0.25">
      <c r="B31" s="6"/>
      <c r="C31" s="6"/>
      <c r="D31" s="6"/>
      <c r="E31" s="6"/>
      <c r="F31" s="6"/>
    </row>
    <row r="32" spans="2:10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</sheetData>
  <mergeCells count="1">
    <mergeCell ref="G10:H10"/>
  </mergeCell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3</xdr:col>
                    <xdr:colOff>83820</xdr:colOff>
                    <xdr:row>10</xdr:row>
                    <xdr:rowOff>121920</xdr:rowOff>
                  </from>
                  <to>
                    <xdr:col>3</xdr:col>
                    <xdr:colOff>891540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3</xdr:col>
                    <xdr:colOff>83820</xdr:colOff>
                    <xdr:row>11</xdr:row>
                    <xdr:rowOff>144780</xdr:rowOff>
                  </from>
                  <to>
                    <xdr:col>3</xdr:col>
                    <xdr:colOff>891540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11.1</vt:lpstr>
      <vt:lpstr>11.2</vt:lpstr>
      <vt:lpstr>11.3</vt:lpstr>
      <vt:lpstr>11.4</vt:lpstr>
      <vt:lpstr>11.5</vt:lpstr>
      <vt:lpstr>11.6</vt:lpstr>
      <vt:lpstr>Alpha</vt:lpstr>
      <vt:lpstr>CDSSpread</vt:lpstr>
      <vt:lpstr>ConfLevel1</vt:lpstr>
      <vt:lpstr>ENE</vt:lpstr>
      <vt:lpstr>EPE</vt:lpstr>
      <vt:lpstr>FXVol</vt:lpstr>
      <vt:lpstr>HazardRate</vt:lpstr>
      <vt:lpstr>InitialMarginPosted</vt:lpstr>
      <vt:lpstr>InitialMarginReceived</vt:lpstr>
      <vt:lpstr>IRate</vt:lpstr>
      <vt:lpstr>IRFXCorr</vt:lpstr>
      <vt:lpstr>IRVol</vt:lpstr>
      <vt:lpstr>IRVol2</vt:lpstr>
      <vt:lpstr>Mu</vt:lpstr>
      <vt:lpstr>PFEhigh</vt:lpstr>
      <vt:lpstr>PFElow</vt:lpstr>
      <vt:lpstr>PortfolioValue</vt:lpstr>
      <vt:lpstr>PostedIMSeg</vt:lpstr>
      <vt:lpstr>Rec</vt:lpstr>
      <vt:lpstr>RecIMSeg</vt:lpstr>
      <vt:lpstr>Sigma</vt:lpstr>
      <vt:lpstr>Spread</vt:lpstr>
      <vt:lpstr>SpreadVol</vt:lpstr>
      <vt:lpstr>VariationMargin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</dc:creator>
  <cp:lastModifiedBy>Jon Gregory</cp:lastModifiedBy>
  <dcterms:created xsi:type="dcterms:W3CDTF">2009-11-27T11:14:55Z</dcterms:created>
  <dcterms:modified xsi:type="dcterms:W3CDTF">2020-06-03T16:08:55Z</dcterms:modified>
</cp:coreProperties>
</file>