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activeTab="0"/>
  </bookViews>
  <sheets>
    <sheet name="Spreadsheet7.1" sheetId="1" r:id="rId1"/>
    <sheet name="Spreadsheet7.1b" sheetId="2" r:id="rId2"/>
    <sheet name="Spreadsheet7.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ccrCell">#REF!</definedName>
    <definedName name="AccrChoice">#REF!</definedName>
    <definedName name="AccruedCell">#REF!</definedName>
    <definedName name="AccruedChoice">#REF!</definedName>
    <definedName name="AccruedInterest">'[7]Bond Price with Excel'!$B$24</definedName>
    <definedName name="AccruedOptions">#REF!</definedName>
    <definedName name="AccruedOrNot">#REF!</definedName>
    <definedName name="AccruedPrem">#REF!</definedName>
    <definedName name="AccruedYesNo">#REF!</definedName>
    <definedName name="Accured">#REF!</definedName>
    <definedName name="ActIntensity1">'[14]CVA'!#REF!</definedName>
    <definedName name="ActIntensity2">'[14]CVA'!#REF!</definedName>
    <definedName name="ActMat">#REF!</definedName>
    <definedName name="Actual_Rating_11">#REF!</definedName>
    <definedName name="AgentRec">'[5]CVA'!#REF!</definedName>
    <definedName name="AllRandomNumbers">#REF!</definedName>
    <definedName name="Alpha" localSheetId="0">'Spreadsheet7.1'!$C$13</definedName>
    <definedName name="Alpha" localSheetId="1">'Spreadsheet7.1b'!#REF!</definedName>
    <definedName name="Alpha">#REF!</definedName>
    <definedName name="AlphaEPE">'[5]Portfolio'!$J$9</definedName>
    <definedName name="AlphaParam">#REF!</definedName>
    <definedName name="AmortChoice">#REF!</definedName>
    <definedName name="Amortisation">#REF!</definedName>
    <definedName name="AmortisedTime">#REF!</definedName>
    <definedName name="Amortising">#REF!</definedName>
    <definedName name="Amortizing">#REF!</definedName>
    <definedName name="AmortOrNot">#REF!</definedName>
    <definedName name="amount1">'[9]SimpleCovarianceWithWeights'!$J$3</definedName>
    <definedName name="amount2">'[9]SimpleCovarianceWithWeights'!$K$3</definedName>
    <definedName name="AmountToLiquidate">#REF!</definedName>
    <definedName name="AnalyticalDeltas">#REF!</definedName>
    <definedName name="Annuity">'[2]Bond-CDS Basis'!$C$19</definedName>
    <definedName name="Asset2">'[8]MonteCarlo'!#REF!</definedName>
    <definedName name="AssetCorrelation">'[5]Portfolio'!$J$11</definedName>
    <definedName name="AssetMC">'[8]MonteCarlo'!$C$3</definedName>
    <definedName name="AssetPrice">#REF!</definedName>
    <definedName name="AssetVal">#REF!</definedName>
    <definedName name="AssetValue">#REF!</definedName>
    <definedName name="Assetvol">'[12]CreditGrades'!$C$14</definedName>
    <definedName name="AssetVolatility">#REF!</definedName>
    <definedName name="At">'[12]CreditGrades'!$C$15</definedName>
    <definedName name="Attach">'[2]CDOPricer'!$C$17</definedName>
    <definedName name="Attach2">#REF!</definedName>
    <definedName name="AvDefProb">'[5]Portfolio'!#REF!</definedName>
    <definedName name="AvRecovery">'[12]Portfolio'!#REF!</definedName>
    <definedName name="AvSpread">'[19]IndexBasis'!$I$10</definedName>
    <definedName name="AvSpread2">#REF!</definedName>
    <definedName name="Barrier">'[6]OptionPricer'!$C$20</definedName>
    <definedName name="BaseCorrel1">#REF!</definedName>
    <definedName name="BaseCorrel2">#REF!</definedName>
    <definedName name="BaseCorrelComb">#REF!</definedName>
    <definedName name="BaseCorrelCurve">#REF!</definedName>
    <definedName name="BaseCorrelEUR">#REF!</definedName>
    <definedName name="BaseCorrelUS">#REF!</definedName>
    <definedName name="BaseCorrEuro">#REF!</definedName>
    <definedName name="BaseCorrUS">#REF!</definedName>
    <definedName name="Basis">#REF!</definedName>
    <definedName name="Basis1">#REF!</definedName>
    <definedName name="Basis2">#REF!</definedName>
    <definedName name="BasisChoices">#REF!</definedName>
    <definedName name="BasisIndex">#REF!</definedName>
    <definedName name="BasisTable1">#REF!</definedName>
    <definedName name="BasisTable2">#REF!</definedName>
    <definedName name="BasketMaturity">'[2]BasketPricer'!$C$14</definedName>
    <definedName name="BasketPV">#REF!</definedName>
    <definedName name="BasketSize">'[2]BasketPricer'!$C$15</definedName>
    <definedName name="BasketType">#REF!</definedName>
    <definedName name="bBasis">#REF!</definedName>
    <definedName name="bBasisIndex">#REF!</definedName>
    <definedName name="BCorrel">#REF!</definedName>
    <definedName name="Beta">#REF!</definedName>
    <definedName name="bFreq">#REF!</definedName>
    <definedName name="bFreqIndex">#REF!</definedName>
    <definedName name="BID">#REF!</definedName>
    <definedName name="bilateral_penalty">#REF!</definedName>
    <definedName name="bilaterla_penalty">#REF!</definedName>
    <definedName name="blank_ref_cell">#REF!</definedName>
    <definedName name="bMatDate">#REF!</definedName>
    <definedName name="Bond_Data_11">#REF!</definedName>
    <definedName name="BondCoupon">'[2]Bond-CDS Basis'!$C$13</definedName>
    <definedName name="BondDeltaApprox">#REF!</definedName>
    <definedName name="BondDeltaApprox2">#REF!</definedName>
    <definedName name="BondDuration">#REF!</definedName>
    <definedName name="BondMaturity">'[2]Bond-CDS Basis'!$Q$9</definedName>
    <definedName name="BondPrice">#REF!</definedName>
    <definedName name="BondPrice_11">#REF!</definedName>
    <definedName name="BondPriceNow">#REF!</definedName>
    <definedName name="BondRecovery">'[2]Bond-CDS Basis'!$C$14</definedName>
    <definedName name="bRecovery">#REF!</definedName>
    <definedName name="BumpType">#REF!</definedName>
    <definedName name="BuyFrom">#REF!</definedName>
    <definedName name="CalChoices">#REF!</definedName>
    <definedName name="CalChoose">#REF!</definedName>
    <definedName name="CalcOptions">#REF!</definedName>
    <definedName name="CalcTypeIndex">#REF!</definedName>
    <definedName name="CalcTypeOption">#REF!</definedName>
    <definedName name="CalculationType">#REF!</definedName>
    <definedName name="CalibChoice">#REF!</definedName>
    <definedName name="CalibChoices">#REF!</definedName>
    <definedName name="calibopencol">OFFSET([0]!LGMChoice,2,0,[0]!NumLGMChoices,1)</definedName>
    <definedName name="calibopencol1">OFFSET([0]!LGMChoice,2,0,[0]!NumLGMChoices,1)</definedName>
    <definedName name="CalibPoints">#REF!</definedName>
    <definedName name="Calibration">#REF!</definedName>
    <definedName name="CalibrationChoices">#REF!</definedName>
    <definedName name="CalibrationMode">#REF!</definedName>
    <definedName name="CalibrationResults">#REF!</definedName>
    <definedName name="CalibrationType">#REF!</definedName>
    <definedName name="CalibType">#REF!</definedName>
    <definedName name="CaliCell">#REF!</definedName>
    <definedName name="CaliChoice">#REF!</definedName>
    <definedName name="CallPut">#REF!</definedName>
    <definedName name="CallRetYesNo">'[5]CollateralMarginCall'!$C$14</definedName>
    <definedName name="CallYesNo">#REF!</definedName>
    <definedName name="CallYesNo2">#REF!</definedName>
    <definedName name="CancellableCDSPrem">'[2]CancellableCDS'!$F$18</definedName>
    <definedName name="CancelOption">'[2]CancellableCDS'!$F$22</definedName>
    <definedName name="cBasis">#REF!</definedName>
    <definedName name="cBasisIndex">#REF!</definedName>
    <definedName name="CCY">#REF!</definedName>
    <definedName name="CDOCorrel">#REF!</definedName>
    <definedName name="CDODef">#REF!</definedName>
    <definedName name="CDODef2">#REF!</definedName>
    <definedName name="CDOMaturity">'[2]CDOPricer'!$C$12</definedName>
    <definedName name="CDOPrem">#REF!</definedName>
    <definedName name="CDOPrem2">#REF!</definedName>
    <definedName name="CDOPV">#REF!</definedName>
    <definedName name="CDOPV2">#REF!</definedName>
    <definedName name="CDSCurve">'[2]CMDS'!$B$15</definedName>
    <definedName name="CDSMarket">#REF!</definedName>
    <definedName name="CDSMaturities">'[2]CMDS'!$B$16:$B$26</definedName>
    <definedName name="CDSMaturity">'[2]SimpleSpreadCDSPricer'!$C$15</definedName>
    <definedName name="CDSPrem">'Spreadsheet7.2'!$C$24</definedName>
    <definedName name="CDSPremium">'[2]CancellableCDS'!$F$17</definedName>
    <definedName name="CDSPV">#REF!</definedName>
    <definedName name="CDSQuotes">'[2]CMDS'!$C$16:$C$26</definedName>
    <definedName name="cFreq">#REF!</definedName>
    <definedName name="cFreqIndex">#REF!</definedName>
    <definedName name="CholeskyInverse">#REF!</definedName>
    <definedName name="CholeskyMatrix">#REF!</definedName>
    <definedName name="CleanPrice">'[7]Bond Price with Excel'!$B$23</definedName>
    <definedName name="cMatDate">#REF!</definedName>
    <definedName name="CMDSMaturity">'[2]CMDS'!$C$12</definedName>
    <definedName name="CntrptyDefProb">'[5]CDSCntrptyRisk'!$C$14</definedName>
    <definedName name="CntrptyRec" localSheetId="0">'Spreadsheet7.1'!$C$11</definedName>
    <definedName name="CntrptyRec" localSheetId="1">'Spreadsheet7.1b'!$C$11</definedName>
    <definedName name="CntrptyRec">'[5]CVA'!#REF!</definedName>
    <definedName name="CntrptySpread">'[5]CDSCntrptyRisk'!$C$8</definedName>
    <definedName name="Collateral">#REF!</definedName>
    <definedName name="CollateralChoice">#REF!</definedName>
    <definedName name="CollateralChoices">#REF!</definedName>
    <definedName name="CollateralHeld">'[5]CollateralMarginCall'!$C$9</definedName>
    <definedName name="CollateralHeld2">#REF!</definedName>
    <definedName name="CollateralisedExposure">#REF!</definedName>
    <definedName name="CollateralMultiplier">#REF!</definedName>
    <definedName name="CollateralRequired">'[5]CollateralMarginCall'!$C$13</definedName>
    <definedName name="CollateralRequired2">#REF!</definedName>
    <definedName name="CollateralThreshold">#REF!</definedName>
    <definedName name="CollateralType">#REF!</definedName>
    <definedName name="CompoundCorrel">#REF!</definedName>
    <definedName name="ComputCreditPort">#REF!</definedName>
    <definedName name="ConfidenceAlpha">'[5]Portfolio'!$J$8</definedName>
    <definedName name="Constaints">#REF!</definedName>
    <definedName name="Constant">'[6]CoherentRiskMeasuresExample'!$I$7</definedName>
    <definedName name="Constr">#REF!</definedName>
    <definedName name="ConstTerm">'[8]MonteCarlo'!$F$6</definedName>
    <definedName name="CopulaCorrelation">'[5]CDSCntrptyRisk'!$C$9</definedName>
    <definedName name="CorP">#REF!</definedName>
    <definedName name="Corr">#REF!</definedName>
    <definedName name="CorrectionTerm">'[5]Impact of PV'!$C$22</definedName>
    <definedName name="CORRECTPASSWORD">#REF!</definedName>
    <definedName name="Correl">'[1]Spreadsheet8.2'!$C$16</definedName>
    <definedName name="Correlation">'[1]Spreadsheet8.4'!$C$16</definedName>
    <definedName name="Correlation_Matrix_11">#REF!</definedName>
    <definedName name="Correlation2">'[1]Spreadsheet8.4'!$C$17</definedName>
    <definedName name="CorrelationMatrix">#REF!</definedName>
    <definedName name="CorrelAttach">#REF!</definedName>
    <definedName name="CorrelAttach2">#REF!</definedName>
    <definedName name="CorrelBump">#REF!</definedName>
    <definedName name="CorrelDetach">#REF!</definedName>
    <definedName name="CorrelDetach2">#REF!</definedName>
    <definedName name="CorrelExpColl">#REF!</definedName>
    <definedName name="CorrelLowerTranche">#REF!</definedName>
    <definedName name="CorrelScenario">#REF!</definedName>
    <definedName name="CorrelUpperTranche">#REF!</definedName>
    <definedName name="Countries">#REF!</definedName>
    <definedName name="Country_Key">#REF!</definedName>
    <definedName name="Country_Name">#REF!</definedName>
    <definedName name="Country_Rating">#REF!</definedName>
    <definedName name="Country_Region">#REF!</definedName>
    <definedName name="Coup">'[7]YieldExample'!$C$4</definedName>
    <definedName name="Coupon">'[7]Bond Price with Excel'!$B$12</definedName>
    <definedName name="CouponsPerYear">'[7]Bond Price with Excel'!$B$15</definedName>
    <definedName name="CovarianceMatrix">#REF!</definedName>
    <definedName name="CovarianceMatrixInverse">'[7]MeanVariance'!$G$11:$J$14</definedName>
    <definedName name="CPCHOICES">#REF!</definedName>
    <definedName name="cpIndex">#REF!</definedName>
    <definedName name="cRecovery">#REF!</definedName>
    <definedName name="CREDIT_STAMP">"DSPricer"</definedName>
    <definedName name="CreditCurveStart">#REF!</definedName>
    <definedName name="CreditModel">#REF!</definedName>
    <definedName name="CreditModelType">#REF!</definedName>
    <definedName name="CreditTau">#REF!</definedName>
    <definedName name="CreditVol">#REF!</definedName>
    <definedName name="Currency">#REF!</definedName>
    <definedName name="currency_mismatch_penalty">#REF!</definedName>
    <definedName name="CurrentEquity">'[4]TradingStrategy'!$C$8</definedName>
    <definedName name="CurrentExposure">#REF!</definedName>
    <definedName name="CurrentSpread">'[4]TradingStrategy'!$C$9</definedName>
    <definedName name="CurrentStock">'[4]TreePricer'!$C$14</definedName>
    <definedName name="CURVE_INDEX">#REF!</definedName>
    <definedName name="CURVE_LIST">#REF!</definedName>
    <definedName name="CVAApprox">'Spreadsheet7.1b'!$F$19</definedName>
    <definedName name="DailyVol">#REF!</definedName>
    <definedName name="DailyVol2">#REF!</definedName>
    <definedName name="DailyVolatility">#REF!</definedName>
    <definedName name="DateToday">#REF!</definedName>
    <definedName name="DayCount">'[7]Bond Price with Excel'!#REF!</definedName>
    <definedName name="DaysToLiquidation">#REF!</definedName>
    <definedName name="DealTerm">#REF!</definedName>
    <definedName name="Debt">'[12]Merton'!$C$17</definedName>
    <definedName name="DebtPerShare">#REF!</definedName>
    <definedName name="DefaultBarrier">#REF!</definedName>
    <definedName name="DefaultLoss">#REF!</definedName>
    <definedName name="DefaultPayoff">'[2]Bond-CDS Basis'!$C$21</definedName>
    <definedName name="DefaultTime">#REF!</definedName>
    <definedName name="DefaultTimes">#REF!</definedName>
    <definedName name="DefComp">#REF!</definedName>
    <definedName name="DefEventLoss">#REF!</definedName>
    <definedName name="DefLegLowerTranche">#REF!</definedName>
    <definedName name="DefLegUpperTranche">#REF!</definedName>
    <definedName name="DefProb">'[1]Spreadsheet8.2'!$F$13</definedName>
    <definedName name="DefProb1">#REF!</definedName>
    <definedName name="DefProb2">#REF!</definedName>
    <definedName name="DefProb3">#REF!</definedName>
    <definedName name="DefProb4">#REF!</definedName>
    <definedName name="DefProb5">#REF!</definedName>
    <definedName name="DefProbs">OFFSET(#REF!,0,#REF!,#REF!,1)</definedName>
    <definedName name="DefThreshold">#REF!</definedName>
    <definedName name="DefTimesOut">#REF!</definedName>
    <definedName name="delay">#REF!</definedName>
    <definedName name="deliveredvol">'[6]HedgingSimulation'!$G$8</definedName>
    <definedName name="Delta">#REF!</definedName>
    <definedName name="DeltaApprox2">#REF!</definedName>
    <definedName name="DeltaBump">#REF!</definedName>
    <definedName name="DeltaShift">#REF!</definedName>
    <definedName name="DeltaStart">#REF!</definedName>
    <definedName name="Detach">'[2]CDOPricer'!$C$18</definedName>
    <definedName name="Detach2">#REF!</definedName>
    <definedName name="DFSCurve">#REF!</definedName>
    <definedName name="DFSSheets">#REF!</definedName>
    <definedName name="DirtyPrice">'[7]Bond Price with Excel'!$B$25</definedName>
    <definedName name="DividendYield">#REF!</definedName>
    <definedName name="DivYield">#REF!</definedName>
    <definedName name="DL">#REF!</definedName>
    <definedName name="DperS">#REF!</definedName>
    <definedName name="dPV">#REF!</definedName>
    <definedName name="Draws">'[6]BinomialVsNormal'!$C$7</definedName>
    <definedName name="Drift">#REF!</definedName>
    <definedName name="drift2">'[6]HedgingSimulation'!$G$7</definedName>
    <definedName name="Dt">'[8]MonteCarlo'!$F$5</definedName>
    <definedName name="DTDays">#REF!</definedName>
    <definedName name="DTMarketPrem">#REF!</definedName>
    <definedName name="Dump">'[5]MonteCarlo'!$N$2</definedName>
    <definedName name="Duration">'[7]Bond Price with Excel'!$B$27</definedName>
    <definedName name="DurationIndex">#REF!</definedName>
    <definedName name="DVAApprox">'Spreadsheet7.1b'!$F$21</definedName>
    <definedName name="Dval">'[12]CreditGrades'!$C$10</definedName>
    <definedName name="EE" localSheetId="0">'Spreadsheet7.1'!#REF!</definedName>
    <definedName name="EE" localSheetId="1">'Spreadsheet7.1b'!#REF!</definedName>
    <definedName name="EE">#REF!</definedName>
    <definedName name="EL">#REF!</definedName>
    <definedName name="EL_E2">#REF!</definedName>
    <definedName name="ELBaseTranche1">#REF!</definedName>
    <definedName name="ELBaseTranche2">#REF!</definedName>
    <definedName name="end_date">#REF!</definedName>
    <definedName name="EndDate">#REF!</definedName>
    <definedName name="ENE">'Spreadsheet7.1b'!$F$20</definedName>
    <definedName name="EPE" localSheetId="0">'Spreadsheet7.1'!$C$16</definedName>
    <definedName name="EPE">'Spreadsheet7.1b'!$F$18</definedName>
    <definedName name="EPEs">'[5]Portfolio'!$G$8</definedName>
    <definedName name="Equity">'[12]Merton'!$C$16</definedName>
    <definedName name="EquityPrice">#REF!</definedName>
    <definedName name="EquityVol">#REF!</definedName>
    <definedName name="Error1">#REF!</definedName>
    <definedName name="Errors">'[5]CDSStripper'!$H$9</definedName>
    <definedName name="EstBeta">#REF!</definedName>
    <definedName name="EURExpLoss">#REF!</definedName>
    <definedName name="EuropeWeight">#REF!</definedName>
    <definedName name="EuropeWeightOveride">#REF!</definedName>
    <definedName name="ExcessReturn">#REF!</definedName>
    <definedName name="ExchangeNotional">#REF!</definedName>
    <definedName name="ExerciseFreq">#REF!</definedName>
    <definedName name="ExerciseOptions">#REF!</definedName>
    <definedName name="ExerciseType">#REF!</definedName>
    <definedName name="ExerFreqChoice">#REF!</definedName>
    <definedName name="ExerTypeIndex">#REF!</definedName>
    <definedName name="Expiry">#REF!</definedName>
    <definedName name="ExpLoss">#REF!</definedName>
    <definedName name="ExpLoss1">#REF!</definedName>
    <definedName name="ExpLoss2">#REF!</definedName>
    <definedName name="Exposure">#REF!</definedName>
    <definedName name="Exposure2">#REF!</definedName>
    <definedName name="ExposurePaths">#REF!</definedName>
    <definedName name="ExposurePaths2">#REF!</definedName>
    <definedName name="Exposures">'[5]Portfolio'!$E$8</definedName>
    <definedName name="ExposureStart">#REF!</definedName>
    <definedName name="ExposureVol">'[5]CollateralMarginCall'!$G$6</definedName>
    <definedName name="ExpRetVector">'[7]MeanVariance'!$D$3:$D$6</definedName>
    <definedName name="external_costs">#REF!</definedName>
    <definedName name="EXTRAINFO">#REF!</definedName>
    <definedName name="FaceValue">'[12]Merton'!$C$6</definedName>
    <definedName name="FairCDSPrem">'[2]SimpleSpreadCDSPricer'!$C$12</definedName>
    <definedName name="FairPremium">#REF!</definedName>
    <definedName name="FFChoice">#REF!</definedName>
    <definedName name="FinalIssCurveRange">OFFSET(#REF!,1,0,#REF!,1)</definedName>
    <definedName name="FinalTotIssCurveRange">#REF!</definedName>
    <definedName name="FirmValue">'[12]Merton'!$C$7</definedName>
    <definedName name="FirstAnalDelta">#REF!</definedName>
    <definedName name="FirstBondMat">#REF!</definedName>
    <definedName name="FirstCalcDelta">#REF!</definedName>
    <definedName name="FirstDefDate">#REF!</definedName>
    <definedName name="FirstDeltaDispl">#REF!</definedName>
    <definedName name="FirstExerciseDate">#REF!</definedName>
    <definedName name="FirstLiborRate1">#REF!</definedName>
    <definedName name="FirstLiborRate2">#REF!</definedName>
    <definedName name="FirstMaturity">#REF!</definedName>
    <definedName name="FirstMaxLoss">#REF!</definedName>
    <definedName name="FirstMinLoss">#REF!</definedName>
    <definedName name="FirstNotional">#REF!</definedName>
    <definedName name="FirstPrem">#REF!</definedName>
    <definedName name="FirstQCDDelta">'[18]CDO'!#REF!</definedName>
    <definedName name="FirstRho">#REF!</definedName>
    <definedName name="FirstSeed">#REF!</definedName>
    <definedName name="FirstSeeed">#REF!</definedName>
    <definedName name="FirstSwapDate">#REF!</definedName>
    <definedName name="FirstTenor">#REF!</definedName>
    <definedName name="FirstToDefault">#REF!</definedName>
    <definedName name="FitCorrmat">#REF!</definedName>
    <definedName name="Fixed_Rate">#REF!</definedName>
    <definedName name="FixedBasis">#REF!</definedName>
    <definedName name="FixedFreq">#REF!</definedName>
    <definedName name="FixedOrFloat">#REF!</definedName>
    <definedName name="FixedOrNot">#REF!</definedName>
    <definedName name="FlaotRefRateChoiceIndex">#REF!</definedName>
    <definedName name="FloatBasis">#REF!</definedName>
    <definedName name="FloatFreq">#REF!</definedName>
    <definedName name="FloatRate">#REF!</definedName>
    <definedName name="FloatRefRateChoice">#REF!</definedName>
    <definedName name="FloatRefRateChoiceIndex">#REF!</definedName>
    <definedName name="Floor">#REF!</definedName>
    <definedName name="Freq">#REF!</definedName>
    <definedName name="Freq1">#REF!</definedName>
    <definedName name="Freq2">#REF!</definedName>
    <definedName name="FreqChoices">#REF!</definedName>
    <definedName name="FreqIndex">#REF!</definedName>
    <definedName name="FreqTable1">#REF!</definedName>
    <definedName name="FreqTable2">#REF!</definedName>
    <definedName name="FVMDef">#REF!</definedName>
    <definedName name="FVMMarketPrem">#REF!</definedName>
    <definedName name="FVMPrem">#REF!</definedName>
    <definedName name="FVMPV">#REF!</definedName>
    <definedName name="FVMResults">#REF!</definedName>
    <definedName name="Fwd">'[1]Spreadsheet8.2'!$F$10</definedName>
    <definedName name="FXVol">#REF!</definedName>
    <definedName name="Gamma">'[7]MeanVariance'!$O$23</definedName>
    <definedName name="gamma2">'[7]MeanVariance'!$C$32</definedName>
    <definedName name="GaussC">'[2]CDOPricer'!$Q$14</definedName>
    <definedName name="GI">#REF!</definedName>
    <definedName name="Global_Local">#REF!</definedName>
    <definedName name="GlobalRec">'[2]CDOPricer'!$C$11</definedName>
    <definedName name="Gone">#REF!</definedName>
    <definedName name="Greeks">#REF!</definedName>
    <definedName name="GuessYield">'[7]YieldExample'!$C$3</definedName>
    <definedName name="HazardRae">'[16]Survival'!#REF!</definedName>
    <definedName name="HazardRage">'[16]Survival'!#REF!</definedName>
    <definedName name="HazardRate">'[1]Spreadsheet8.4'!#REF!</definedName>
    <definedName name="HazardRate1">'Spreadsheet7.1'!$Q$24</definedName>
    <definedName name="HazardRate2">'Spreadsheet7.1'!$Q$25</definedName>
    <definedName name="HazardRate3">'Spreadsheet7.1'!$Q$26</definedName>
    <definedName name="HazardRate4">'Spreadsheet7.1'!$Q$27</definedName>
    <definedName name="HazardRate5">'Spreadsheet7.1'!$Q$28</definedName>
    <definedName name="HazardRates">'[5]CDSStripper'!$C$9</definedName>
    <definedName name="HedgeAmount">'[4]TradingStrategy'!$C$10</definedName>
    <definedName name="HedgingFreq">#REF!</definedName>
    <definedName name="HistHigh">#REF!</definedName>
    <definedName name="HistLow">#REF!</definedName>
    <definedName name="Histogram1Output">#REF!</definedName>
    <definedName name="Histogram2Output">#REF!</definedName>
    <definedName name="HistoricalError">#REF!</definedName>
    <definedName name="HistStart">#REF!</definedName>
    <definedName name="HistWeight">#REF!</definedName>
    <definedName name="HR">'[2]CancellableCDS'!#REF!</definedName>
    <definedName name="IA">'[14]CollateralMarginCall'!#REF!</definedName>
    <definedName name="ImpliedVolatility">'[6]HedgingSimulation'!$C$10</definedName>
    <definedName name="IndependentAmount">'[5]CollateralMarginCall'!$C$7</definedName>
    <definedName name="IndependentAmount2">'[5]CollateralMarginCall'!$D$7</definedName>
    <definedName name="Index">#REF!</definedName>
    <definedName name="IndexELEur">#REF!</definedName>
    <definedName name="IndexELUS">#REF!</definedName>
    <definedName name="IndexExpLossEUR">#REF!</definedName>
    <definedName name="IndexExpLossUS">#REF!</definedName>
    <definedName name="IndexLevels">#REF!</definedName>
    <definedName name="IndexPV">#REF!</definedName>
    <definedName name="IndexRiskyLevel">#REF!</definedName>
    <definedName name="IndexStart">#REF!</definedName>
    <definedName name="Industry_Description">#REF!</definedName>
    <definedName name="Industry_Lookup_Table">#REF!</definedName>
    <definedName name="Industry_Number">#REF!</definedName>
    <definedName name="InitialCollateral">#REF!</definedName>
    <definedName name="InitialExposure">#REF!</definedName>
    <definedName name="InitialPV">'[15]Sheet1 (2)'!$D$4</definedName>
    <definedName name="INST_TYPE">#REF!</definedName>
    <definedName name="InstitutionRecovery">'Spreadsheet7.1b'!$C$12</definedName>
    <definedName name="InstName">#REF!</definedName>
    <definedName name="IntegrationPoints">'[2]CDOPricer'!$C$15</definedName>
    <definedName name="IntegrationPoints2">#REF!</definedName>
    <definedName name="Intensity">#REF!</definedName>
    <definedName name="IntensityCntrpty" localSheetId="0">'Spreadsheet7.1'!$J$14</definedName>
    <definedName name="IntensityCntrpty" localSheetId="1">'Spreadsheet7.1b'!$J$15</definedName>
    <definedName name="IntensityCntrpty">'[5]CVA'!$D$8</definedName>
    <definedName name="IntensitySystemic">'[5]CVA'!#REF!</definedName>
    <definedName name="IntensityUs">'[5]CVA'!#REF!</definedName>
    <definedName name="InterCorrel">'[18]CDO'!#REF!</definedName>
    <definedName name="Interest_Rate">'[2]CDOPricer'!$C$14</definedName>
    <definedName name="InterestR">'[4]TreePricer'!$C$18</definedName>
    <definedName name="InterestRate">'[2]Bond-CDS Basis'!$C$11</definedName>
    <definedName name="InterestRateNow">#REF!</definedName>
    <definedName name="InterpType">'[3]BaseCorrelation'!$C$16</definedName>
    <definedName name="Interval">#REF!</definedName>
    <definedName name="IntPoints">#REF!</definedName>
    <definedName name="IntRate">'[1]Spreadsheet8.2'!$C$14</definedName>
    <definedName name="iNumUnderlyings">#REF!</definedName>
    <definedName name="IR">'[6]OptionPricer'!$C$9</definedName>
    <definedName name="IRate" localSheetId="0">'Spreadsheet7.1'!$C$12</definedName>
    <definedName name="IRate" localSheetId="1">'Spreadsheet7.1b'!$C$13</definedName>
    <definedName name="IRate">'[5]CVA'!$C$13</definedName>
    <definedName name="IRate1">'Spreadsheet7.2'!$C$16</definedName>
    <definedName name="IRate2">'Spreadsheet7.2'!$C$17</definedName>
    <definedName name="IRate3">'Spreadsheet7.2'!$C$18</definedName>
    <definedName name="IRate4">'Spreadsheet7.2'!$C$19</definedName>
    <definedName name="IRate5">'Spreadsheet7.2'!$C$20</definedName>
    <definedName name="IRMC">'[8]MonteCarlo'!$C$5</definedName>
    <definedName name="IRModel">#REF!</definedName>
    <definedName name="IRModelType">#REF!</definedName>
    <definedName name="IRTau">#REF!</definedName>
    <definedName name="IRVol">#REF!</definedName>
    <definedName name="IssCurveRangeCopy">OFFSET(#REF!,1+#REF!,0,#REF!,1)</definedName>
    <definedName name="ISSUE_DATE">#REF!</definedName>
    <definedName name="ISSUER">#REF!</definedName>
    <definedName name="Issuer_Curve_cell">#REF!</definedName>
    <definedName name="ISSUER_INDEX">#REF!</definedName>
    <definedName name="ISSUER_LIST">#REF!</definedName>
    <definedName name="ISSUER_MAPPINGS">#REF!</definedName>
    <definedName name="IssuerCurves">OFFSET(#REF!,0,0,#REF!,1)</definedName>
    <definedName name="iter">#REF!</definedName>
    <definedName name="JumpFreq">#REF!</definedName>
    <definedName name="JumpSize">#REF!</definedName>
    <definedName name="Knockout">#REF!</definedName>
    <definedName name="Knockout2">#REF!</definedName>
    <definedName name="kurtosis">#REF!</definedName>
    <definedName name="Label">#REF!</definedName>
    <definedName name="Lamba">'[12]CreditGrades'!$C$8</definedName>
    <definedName name="lambda">#REF!</definedName>
    <definedName name="lamda">#REF!</definedName>
    <definedName name="lamda2">'[6]ExponentialDampingEstimate'!$C$6</definedName>
    <definedName name="lamda3">'[6]ExponentialDampingEstimate'!$C$6</definedName>
    <definedName name="LASTCPN_RATE">#REF!</definedName>
    <definedName name="LastExerciseDate">#REF!</definedName>
    <definedName name="Lbar">'[12]CreditGrades'!$C$7</definedName>
    <definedName name="LengthBCCurve">#REF!</definedName>
    <definedName name="LengthBCEur">#REF!</definedName>
    <definedName name="LengthBCUS">#REF!</definedName>
    <definedName name="Leverage">#REF!</definedName>
    <definedName name="LGD">'[19]BaselIIFormula'!$D$8</definedName>
    <definedName name="LGM_STAMP">"LGM"</definedName>
    <definedName name="LGMChoice">#REF!</definedName>
    <definedName name="LGMopencol">OFFSET([0]!LGMChoice,2,0,[0]!NumLGMChoices,1)</definedName>
    <definedName name="LiborRateChoice">#REF!</definedName>
    <definedName name="LiborRateCol">OFFSET(#REF!,0,0,#REF!,1)</definedName>
    <definedName name="LiborRateCol1">OFFSET(#REF!,0,0,#REF!,1)</definedName>
    <definedName name="littled">'[12]CreditGrades'!$C$16</definedName>
    <definedName name="LOAD_MKT">#REF!</definedName>
    <definedName name="LookUnderlying">#REF!</definedName>
    <definedName name="LossBins">#REF!</definedName>
    <definedName name="LossGivenDefault">'[12]Merton'!$C$25</definedName>
    <definedName name="LossonLiquidation">#REF!</definedName>
    <definedName name="Lower">'[9]SimpleIntegration'!$C$2</definedName>
    <definedName name="LowerBaseTrancheAttach">#REF!</definedName>
    <definedName name="LowerTrancheEURCorrel">#REF!</definedName>
    <definedName name="LowerTrancheUSCorrel">#REF!</definedName>
    <definedName name="LS1">#REF!</definedName>
    <definedName name="LS2">#REF!</definedName>
    <definedName name="LTBorrowings">#REF!</definedName>
    <definedName name="LTMean">#REF!</definedName>
    <definedName name="MAN_IP">#REF!</definedName>
    <definedName name="MAN_MKT">#REF!</definedName>
    <definedName name="ManualMarket">#REF!</definedName>
    <definedName name="Mapset">#REF!</definedName>
    <definedName name="Mapsets_count_cell">#REF!</definedName>
    <definedName name="MargEPE">'[5]Impact of PV'!$C$19</definedName>
    <definedName name="MargEPE1">'[5]EPEAllocation'!$C$22</definedName>
    <definedName name="MargEPE2">'[5]EPEAllocation'!$D$22</definedName>
    <definedName name="MargPayoff">'[2]CDOPricer'!$L$14</definedName>
    <definedName name="Market">#REF!</definedName>
    <definedName name="MarketChoice">#REF!</definedName>
    <definedName name="MarketChoiceCell">#REF!</definedName>
    <definedName name="marketcountcol">#REF!</definedName>
    <definedName name="MarketId">#REF!</definedName>
    <definedName name="MarketPrem">#REF!</definedName>
    <definedName name="MarketSheet">#REF!</definedName>
    <definedName name="Mat">'[12]CreditGrades'!$C$11</definedName>
    <definedName name="MatDate">#REF!</definedName>
    <definedName name="Maturity">'[1]Spreadsheet8.2'!$C$13</definedName>
    <definedName name="Maturity_11">#REF!</definedName>
    <definedName name="maturity_mismatch_penalty">#REF!</definedName>
    <definedName name="Maturity2">#REF!</definedName>
    <definedName name="MaturityDate">'[7]Bond Price with Excel'!$B$16</definedName>
    <definedName name="MaturityMC">'[8]MonteCarlo'!$C$6</definedName>
    <definedName name="MaxBinLoss">#REF!</definedName>
    <definedName name="MaxDefaults">#REF!</definedName>
    <definedName name="MaxLossStart">#REF!</definedName>
    <definedName name="MCDefLeg">'[2]CDOPricer'!$C$22</definedName>
    <definedName name="MCorTree">#REF!</definedName>
    <definedName name="MCOutput">'[5]MonteCarlo'!$J$8</definedName>
    <definedName name="MCPaths">'[5]CollateralMarginCall'!$G$9</definedName>
    <definedName name="MCPremLeg">'[2]CDOPricer'!$C$23</definedName>
    <definedName name="MCSims">'[5]MonteCarlo'!$C$8</definedName>
    <definedName name="Mean">#REF!</definedName>
    <definedName name="Mean1">'[9]SimpleCovarianceWithWeights'!$C$6</definedName>
    <definedName name="Mean2">'[9]SimpleCovarianceWithWeights'!$C$7</definedName>
    <definedName name="MeanExposure">'[5]Netting'!$D$8</definedName>
    <definedName name="MeanReturn">#REF!</definedName>
    <definedName name="MeanRev">#REF!</definedName>
    <definedName name="MertonMaturity">'[3]Merton'!$C$13</definedName>
    <definedName name="MinAmountInput">#REF!</definedName>
    <definedName name="MinDefaults">#REF!</definedName>
    <definedName name="MinimumTransferAmount">'[5]CollateralMarginCall'!$C$10</definedName>
    <definedName name="MinimumTransferAmount2">'[5]CollateralMarginCall'!$D$10</definedName>
    <definedName name="MinLossStart">#REF!</definedName>
    <definedName name="MinorityInterest">#REF!</definedName>
    <definedName name="MKT">#REF!</definedName>
    <definedName name="mktid">#REF!</definedName>
    <definedName name="MktPriceCell">#REF!</definedName>
    <definedName name="MnL">#REF!</definedName>
    <definedName name="ModelChoiceInt">#REF!</definedName>
    <definedName name="ModelNameMod">#REF!</definedName>
    <definedName name="ModifiedDuration">'[7]Bond Price with Excel'!#REF!</definedName>
    <definedName name="MTMVals">'[2]ImpliedDefProb'!$K$11</definedName>
    <definedName name="Mu" localSheetId="0">'Spreadsheet7.1'!$D$11</definedName>
    <definedName name="Mu" localSheetId="1">'Spreadsheet7.1b'!$D$11</definedName>
    <definedName name="Mu">#REF!</definedName>
    <definedName name="mu1">#REF!</definedName>
    <definedName name="mu1a">'[6]TwoAssetsEfficientFrontier'!$C$7</definedName>
    <definedName name="mu2">#REF!</definedName>
    <definedName name="mu2a">'[6]TwoAssetsEfficientFrontier'!$C$8</definedName>
    <definedName name="Mu3">#REF!</definedName>
    <definedName name="Mult1">'[5]EPEAllocation'!$H$7</definedName>
    <definedName name="Mult2">'[5]EPEAllocation'!$I$7</definedName>
    <definedName name="Multiplier">'[6]CoherentRiskMeasuresExample'!$I$8</definedName>
    <definedName name="MxL">#REF!</definedName>
    <definedName name="NAME">#REF!</definedName>
    <definedName name="NameInDef">#REF!</definedName>
    <definedName name="NbBond">#REF!</definedName>
    <definedName name="NbParam">#REF!</definedName>
    <definedName name="NbPoints">#REF!</definedName>
    <definedName name="nd1">'[1]Spreadsheet8.2'!$F$11</definedName>
    <definedName name="nd2">'[1]Spreadsheet8.2'!$F$12</definedName>
    <definedName name="NewEstimate">'[5]CDSStripper'!$L$10</definedName>
    <definedName name="NextCouponDate">'[7]Bond Price with Excel'!$B$19</definedName>
    <definedName name="non_utilisation_relief">#REF!</definedName>
    <definedName name="Notional">#REF!</definedName>
    <definedName name="Notional_11">#REF!</definedName>
    <definedName name="Notionals">#REF!</definedName>
    <definedName name="NUM_CURVES">#REF!</definedName>
    <definedName name="NUM_ISSUERS">#REF!</definedName>
    <definedName name="NUM_MAPPINGS">#REF!</definedName>
    <definedName name="NUM_QUOTES">#REF!</definedName>
    <definedName name="NumBonds">#REF!</definedName>
    <definedName name="NumCalibInstruments">#REF!</definedName>
    <definedName name="NumCalls">#REF!</definedName>
    <definedName name="NumCoupons">#REF!</definedName>
    <definedName name="NumDeltas">#REF!</definedName>
    <definedName name="NumExercises">#REF!</definedName>
    <definedName name="NumFactors">#REF!</definedName>
    <definedName name="NumFloatCoupons">#REF!</definedName>
    <definedName name="NumInstruments">#REF!</definedName>
    <definedName name="NumLGMChoices">#REF!</definedName>
    <definedName name="NumMarketChoices">#REF!</definedName>
    <definedName name="NumNames">'[2]CDOPricer'!$C$13</definedName>
    <definedName name="NumNames2">#REF!</definedName>
    <definedName name="NumPremiums">#REF!</definedName>
    <definedName name="NumRatings">#REF!</definedName>
    <definedName name="NumRefRateChoices">#REF!</definedName>
    <definedName name="NumReqTnors">#REF!</definedName>
    <definedName name="NumSims">#REF!</definedName>
    <definedName name="NumSimulations">'[2]CDOPricer'!$C$19</definedName>
    <definedName name="NumSteps">'[4]TreePricer'!$C$10</definedName>
    <definedName name="NumTenors">#REF!</definedName>
    <definedName name="NumTranches">#REF!</definedName>
    <definedName name="NumUnderlyings">#REF!</definedName>
    <definedName name="Obligor_Group">#REF!</definedName>
    <definedName name="Obligor_Location">#REF!</definedName>
    <definedName name="Obligor_Name">#REF!</definedName>
    <definedName name="OFFER">#REF!</definedName>
    <definedName name="OptComp">#REF!</definedName>
    <definedName name="OptionData">'[4]OptionPriceTree'!$A$1</definedName>
    <definedName name="OptionDelta">#REF!</definedName>
    <definedName name="OptionDeltaApprox">#REF!</definedName>
    <definedName name="OptionImpVol">#REF!</definedName>
    <definedName name="OptionIR">#REF!</definedName>
    <definedName name="OptionMaturity">'[2]CancellableCDS'!$C$12</definedName>
    <definedName name="OptionPayoff">'[4]TreePricer'!$C$9</definedName>
    <definedName name="OptionPrem">#REF!</definedName>
    <definedName name="OptionPrice">'[4]TreePricer'!$C$22</definedName>
    <definedName name="OptionPVMC">#REF!</definedName>
    <definedName name="OptionSpot">#REF!</definedName>
    <definedName name="OptionStrike">#REF!</definedName>
    <definedName name="OptionType">#REF!</definedName>
    <definedName name="OptionTypeCell">#REF!</definedName>
    <definedName name="OptionValue">#REF!</definedName>
    <definedName name="Original_Obl_Loc">#REF!</definedName>
    <definedName name="OtherLTLiab">#REF!</definedName>
    <definedName name="OtherSTLIab">#REF!</definedName>
    <definedName name="Output">'[5]Impact of PV'!$B$25</definedName>
    <definedName name="OutputGI">#REF!</definedName>
    <definedName name="OverwriteBaseCorrel">#REF!</definedName>
    <definedName name="Param">'[14]MonteCarlo'!#REF!</definedName>
    <definedName name="Param1">'[14]MonteCarlo'!#REF!</definedName>
    <definedName name="Param2">#REF!</definedName>
    <definedName name="PASSWORD">#REF!</definedName>
    <definedName name="PayDateCell">#REF!</definedName>
    <definedName name="PayFrac">'Spreadsheet7.2'!$D$12</definedName>
    <definedName name="PayFreq">'Spreadsheet7.2'!$C$12</definedName>
    <definedName name="Payoff">'[2]CDOPricer'!$K$14</definedName>
    <definedName name="PayoffRef">#REF!</definedName>
    <definedName name="Payoffs">OFFSET(#REF!,0,0,#REF!,1)</definedName>
    <definedName name="PayRec">'Spreadsheet7.2'!$C$11</definedName>
    <definedName name="Percentile">'[6]CoherentRiskMeasuresExample'!$I$9</definedName>
    <definedName name="PercPriceImpact">#REF!</definedName>
    <definedName name="PFE" localSheetId="0">'Spreadsheet7.1'!$C$17</definedName>
    <definedName name="PFE" localSheetId="1">'Spreadsheet7.1b'!#REF!</definedName>
    <definedName name="PFE">#REF!</definedName>
    <definedName name="Points">'[9]SimpleIntegration'!$C$4</definedName>
    <definedName name="PortExpLoss">#REF!</definedName>
    <definedName name="PortfolioMTM">'[5]CollateralMarginCall'!$C$6</definedName>
    <definedName name="Positions">#REF!</definedName>
    <definedName name="PostInterval">'[5]CollateralMarginCall'!$G$7</definedName>
    <definedName name="PreferredEquity">#REF!</definedName>
    <definedName name="Prem1">#REF!</definedName>
    <definedName name="Prem2">#REF!</definedName>
    <definedName name="PremComp">#REF!</definedName>
    <definedName name="Premium">#REF!</definedName>
    <definedName name="PremiumDateCell">#REF!</definedName>
    <definedName name="PremiumModel">#REF!</definedName>
    <definedName name="PremiumPaid">#REF!</definedName>
    <definedName name="PremiumPaid2">#REF!</definedName>
    <definedName name="PremiumStart">#REF!</definedName>
    <definedName name="PremLeg2">#REF!</definedName>
    <definedName name="Price">'[7]YieldExample'!$C$2</definedName>
    <definedName name="PrincingError">#REF!</definedName>
    <definedName name="Prob">'[6]BinomialVsNormal'!$C$6</definedName>
    <definedName name="ProductType">#REF!</definedName>
    <definedName name="PV1">#REF!</definedName>
    <definedName name="PV2">#REF!</definedName>
    <definedName name="PVDef">#REF!</definedName>
    <definedName name="PVDef2">#REF!</definedName>
    <definedName name="PVPrem">#REF!</definedName>
    <definedName name="PVPrem2">#REF!</definedName>
    <definedName name="Quantile">#REF!</definedName>
    <definedName name="QuantoMkt">#REF!</definedName>
    <definedName name="RandomNumberRange">#REF!</definedName>
    <definedName name="RandomNumbers">#REF!</definedName>
    <definedName name="RanNums">'[13]RandomNumbers'!$B$4</definedName>
    <definedName name="RanNums2">'[13]RandomNumbers'!$H$4</definedName>
    <definedName name="rate">'[10]Class Problems'!$H$39</definedName>
    <definedName name="Rate2">#REF!</definedName>
    <definedName name="Rating">#REF!</definedName>
    <definedName name="Rating_11">#REF!</definedName>
    <definedName name="RatingT1">#REF!</definedName>
    <definedName name="RatingT2">#REF!</definedName>
    <definedName name="RatingT3">#REF!</definedName>
    <definedName name="RatingTable">#REF!</definedName>
    <definedName name="RBasis">#REF!</definedName>
    <definedName name="RBondStrike">#REF!</definedName>
    <definedName name="RCalibWeight">#REF!</definedName>
    <definedName name="RDV01">'[2]CancellableCDS'!#REF!</definedName>
    <definedName name="Rec">#REF!</definedName>
    <definedName name="RecCntrpty">'[1]Spreadsheet8.4'!$C$14</definedName>
    <definedName name="RecFrac">'Spreadsheet7.2'!$D$13</definedName>
    <definedName name="RecFreq">'Spreadsheet7.2'!$C$13</definedName>
    <definedName name="RecInstitution">'[1]Spreadsheet8.4'!$C$15</definedName>
    <definedName name="Recovery">'Spreadsheet7.2'!$C$25</definedName>
    <definedName name="Recovery_Pricing">#REF!</definedName>
    <definedName name="Recovery_Stripping">#REF!</definedName>
    <definedName name="Recovery2">#REF!</definedName>
    <definedName name="RecoveryPercent">'[12]Merton'!$C$24</definedName>
    <definedName name="RecoveryR">#REF!</definedName>
    <definedName name="RecoveryRate">'[2]BasketMC'!$C$11</definedName>
    <definedName name="recovrate">#REF!</definedName>
    <definedName name="RecovRate_11">#REF!</definedName>
    <definedName name="RecPayCell">#REF!</definedName>
    <definedName name="RecRate">'[2]SimpleSpreadCDSPricer'!$C$14</definedName>
    <definedName name="Redemption">'[7]Bond Price with Excel'!$B$58</definedName>
    <definedName name="ref_currency">#REF!</definedName>
    <definedName name="RefDefProb">'[5]CDSCntrptyRisk'!$C$13</definedName>
    <definedName name="RefRate">#REF!</definedName>
    <definedName name="RefRateCell">#REF!</definedName>
    <definedName name="RefRateChoiceCell">#REF!</definedName>
    <definedName name="RefRec">#REF!</definedName>
    <definedName name="Region">#REF!</definedName>
    <definedName name="repoCurve">#REF!</definedName>
    <definedName name="ReqCorrMat">#REF!</definedName>
    <definedName name="RescaleEL">#REF!</definedName>
    <definedName name="RescaleRatio">#REF!</definedName>
    <definedName name="Reserve">#REF!</definedName>
    <definedName name="result_11">#REF!</definedName>
    <definedName name="Result1">'[5]CVA'!$J$6</definedName>
    <definedName name="Result2">'[5]CVA'!$K$6</definedName>
    <definedName name="Results">#REF!</definedName>
    <definedName name="RetPV">#REF!</definedName>
    <definedName name="RetPV2">#REF!</definedName>
    <definedName name="Return">#REF!</definedName>
    <definedName name="RExerFrontierBounds">OFFSET([0]!ExerRatesBoundsTopCell,0,0,[0]!NumExercises,1)</definedName>
    <definedName name="RFwdVols">OFFSET([0]!FwdVolRangeTopCell,0,0,[0]!NumExercises,[0]!NumExercises)</definedName>
    <definedName name="rho">#REF!</definedName>
    <definedName name="Rho1">'[2]CDOPricer'!$Q$15</definedName>
    <definedName name="Rho2">'[2]CDOPricer'!$Q$16</definedName>
    <definedName name="Rhos">#REF!</definedName>
    <definedName name="RhoTerm">#REF!</definedName>
    <definedName name="RISKY_MARKET">#REF!</definedName>
    <definedName name="RiskyAnnuity">'[2]SimpleSpreadCDSPricer'!$C$19</definedName>
    <definedName name="RiskyInsDef">#REF!</definedName>
    <definedName name="RiskyInsParRate">#REF!</definedName>
    <definedName name="RiskyInsPrem">#REF!</definedName>
    <definedName name="RiskyInsPV">#REF!</definedName>
    <definedName name="RiskyLevel">#REF!</definedName>
    <definedName name="RiskyLevels">#REF!</definedName>
    <definedName name="RiskyMarket">#REF!</definedName>
    <definedName name="RL">#REF!</definedName>
    <definedName name="RLBaseTranche1">#REF!</definedName>
    <definedName name="RLBaseTranche2">#REF!</definedName>
    <definedName name="RLevel">'[19]BlackModel'!$D$10</definedName>
    <definedName name="RLevel2">#REF!</definedName>
    <definedName name="Rounding">'[5]CollateralMarginCall'!$C$11</definedName>
    <definedName name="Rounding2">#REF!</definedName>
    <definedName name="sA">'[7]MeanVariance'!$O$17</definedName>
    <definedName name="sB">'[7]MeanVariance'!$O$18</definedName>
    <definedName name="sC">'[7]MeanVariance'!$O$19</definedName>
    <definedName name="ScenarioOutput">#REF!</definedName>
    <definedName name="Scenarios">#REF!</definedName>
    <definedName name="sD">'[7]MeanVariance'!$O$20</definedName>
    <definedName name="secondcurrency">#REF!</definedName>
    <definedName name="Seed">'[5]MonteCarlo'!$C$9</definedName>
    <definedName name="Seed2">'[5]CollateralMarginCall'!$G$8</definedName>
    <definedName name="SET_DATE">#REF!</definedName>
    <definedName name="SettleDate">'[7]Bond Price with Excel'!$B$14</definedName>
    <definedName name="SharesOutstanding">#REF!</definedName>
    <definedName name="ShiftAmount">#REF!</definedName>
    <definedName name="ShowPath">#REF!</definedName>
    <definedName name="ShowPaths">'[4]TreePricer'!$C$11</definedName>
    <definedName name="Sigma" localSheetId="0">'Spreadsheet7.1'!$C$12</definedName>
    <definedName name="Sigma" localSheetId="1">'Spreadsheet7.1b'!$C$13</definedName>
    <definedName name="Sigma">#REF!</definedName>
    <definedName name="sigma1">#REF!</definedName>
    <definedName name="sigma2">#REF!</definedName>
    <definedName name="Sigma3">#REF!</definedName>
    <definedName name="SigmaVector">'[7]MeanVariance'!$E$3:$E$6</definedName>
    <definedName name="SigmaVolume">#REF!</definedName>
    <definedName name="SimCount">'[2]CDOPricer'!$K$11</definedName>
    <definedName name="Sims">'[8]MonteCarlo'!$F$4</definedName>
    <definedName name="SimulationResults">'[4]HedgingSimulation'!$R$4</definedName>
    <definedName name="Simulations">#REF!</definedName>
    <definedName name="SizeCouponSchedule">#REF!</definedName>
    <definedName name="SOURCE">#REF!</definedName>
    <definedName name="SourceCell">#REF!</definedName>
    <definedName name="SplinePointsa">#REF!</definedName>
    <definedName name="Spot">'[1]Spreadsheet8.2'!$C$10</definedName>
    <definedName name="SprdInstitution">'[1]Spreadsheet8.4'!$C$13</definedName>
    <definedName name="Spread">#REF!</definedName>
    <definedName name="SpreadAgent">'[14]CVA'!#REF!</definedName>
    <definedName name="SpreadCntrpty" localSheetId="0">'Spreadsheet7.1'!$C$15</definedName>
    <definedName name="SpreadCntrpty" localSheetId="1">'Spreadsheet7.1b'!$C$14</definedName>
    <definedName name="SpreadCntrpty">'[1]Spreadsheet8.4'!$C$12</definedName>
    <definedName name="SpreadInstitution">'Spreadsheet7.1b'!$C$15</definedName>
    <definedName name="SpreadLowerTranche">#REF!</definedName>
    <definedName name="SpreadMulti">#REF!</definedName>
    <definedName name="SpreadRef">'[5]CDSCntrptyRisk'!$C$7</definedName>
    <definedName name="SpreadScenario">#REF!</definedName>
    <definedName name="SpreadSys">'[14]CVA'!#REF!</definedName>
    <definedName name="SpreadUpperTranche">#REF!</definedName>
    <definedName name="SQrtTerm">#REF!</definedName>
    <definedName name="Sstar">'[12]CreditGrades'!$C$6</definedName>
    <definedName name="start_date">#REF!</definedName>
    <definedName name="StartCopyCell">#REF!</definedName>
    <definedName name="StartCouponSchedule">#REF!</definedName>
    <definedName name="Starting_Point">#REF!</definedName>
    <definedName name="STBorrowings">#REF!</definedName>
    <definedName name="StdDev">#REF!</definedName>
    <definedName name="StdDevExposure">'[5]Netting'!$D$9</definedName>
    <definedName name="StdExposures">'[5]Portfolio'!$F$8</definedName>
    <definedName name="Steps">'[8]MonteCarlo'!$F$3</definedName>
    <definedName name="StepSize">#REF!</definedName>
    <definedName name="StepsPerHedge">#REF!</definedName>
    <definedName name="Stock">'[6]OptionPricer'!$C$7</definedName>
    <definedName name="StockData">'[4]UnderlyingValueTree'!$A$1</definedName>
    <definedName name="StockPrice">#REF!</definedName>
    <definedName name="StockVol">'[4]CreditGrades'!$C$9</definedName>
    <definedName name="Strike">'[1]Spreadsheet8.2'!$C$11</definedName>
    <definedName name="StrikeMC">'[8]MonteCarlo'!$C$4</definedName>
    <definedName name="SttDev">#REF!</definedName>
    <definedName name="Study_Period">#REF!</definedName>
    <definedName name="SurvProb">'[17]BlackModel'!#REF!</definedName>
    <definedName name="SVol">'[12]CreditGrades'!$C$9</definedName>
    <definedName name="SwapChoices">#REF!</definedName>
    <definedName name="SwapChoices3">#REF!</definedName>
    <definedName name="SwapPayments">#REF!</definedName>
    <definedName name="SwapRate">'Spreadsheet7.2'!$C$10</definedName>
    <definedName name="SwapRateVol">'Spreadsheet7.2'!$C$23</definedName>
    <definedName name="SwapType">#REF!</definedName>
    <definedName name="TargetReturn">'[7]MeanVariance'!$J$18</definedName>
    <definedName name="TargetSpread">#REF!</definedName>
    <definedName name="TargSpread">#REF!</definedName>
    <definedName name="Tau">#REF!</definedName>
    <definedName name="TENOR">#REF!</definedName>
    <definedName name="Tenors">#REF!</definedName>
    <definedName name="TenorToShift">#REF!</definedName>
    <definedName name="TenYearFactor">#REF!</definedName>
    <definedName name="term">#REF!</definedName>
    <definedName name="ThisDefLeg">'[2]CDOPricer'!$G$11</definedName>
    <definedName name="ThisMaturity">#REF!</definedName>
    <definedName name="ThisPremLeg">'[2]CDOPricer'!$G$12</definedName>
    <definedName name="Threshold">'[1]Spreadsheet8.2'!$F$14</definedName>
    <definedName name="Threshold1">#REF!</definedName>
    <definedName name="Threshold2">'[5]CollateralMarginCall'!$D$8</definedName>
    <definedName name="Threshold3">#REF!</definedName>
    <definedName name="Threshold4">#REF!</definedName>
    <definedName name="Threshold5">#REF!</definedName>
    <definedName name="ThresholdInput">#REF!</definedName>
    <definedName name="Thresholds">'[5]Portfolio'!$D$8</definedName>
    <definedName name="Ticker">#REF!</definedName>
    <definedName name="tier_one_ratio">#REF!</definedName>
    <definedName name="Time">#REF!</definedName>
    <definedName name="Time2">#REF!</definedName>
    <definedName name="TimeHorizon">#REF!</definedName>
    <definedName name="TimeIntPoints">#REF!</definedName>
    <definedName name="timestep">'[6]HedgingSimulation'!$G$9</definedName>
    <definedName name="tmat">#REF!</definedName>
    <definedName name="tmat2">#REF!</definedName>
    <definedName name="tmat3">#REF!</definedName>
    <definedName name="tmat4">#REF!</definedName>
    <definedName name="TMTopLeft">#REF!</definedName>
    <definedName name="TODAY">#REF!</definedName>
    <definedName name="Total_Facilities">#REF!</definedName>
    <definedName name="TotalCommonEquity">#REF!</definedName>
    <definedName name="TotalExposure">'[5]CollateralMarginCall'!$C$12</definedName>
    <definedName name="TotalMargEPE">'[5]EPEAllocation'!$C$23</definedName>
    <definedName name="TotalNot">#REF!</definedName>
    <definedName name="TotalPnL">'[4]HedgingSimulation'!$L$10</definedName>
    <definedName name="TotalPV">#REF!</definedName>
    <definedName name="TotalRequiredCollateralisation2">#REF!</definedName>
    <definedName name="TotalRequiredCollaterlisation">#REF!</definedName>
    <definedName name="TotIssCurveRange">#REF!</definedName>
    <definedName name="TotZeroCurveRange">#REF!</definedName>
    <definedName name="TrancheDefLeg">#REF!</definedName>
    <definedName name="TrancheEL">#REF!</definedName>
    <definedName name="TrancheNot">#REF!</definedName>
    <definedName name="TrancheNotional">#REF!</definedName>
    <definedName name="TranchePremiums">#REF!</definedName>
    <definedName name="TranchePremLeg">#REF!</definedName>
    <definedName name="TrancheRL">#REF!</definedName>
    <definedName name="transaction_notional_Amont">#REF!</definedName>
    <definedName name="Transition_Matrix">#REF!</definedName>
    <definedName name="TreeStep">#REF!</definedName>
    <definedName name="type">#REF!</definedName>
    <definedName name="typeasset">#REF!</definedName>
    <definedName name="TypeChoices">#REF!</definedName>
    <definedName name="typeIndex">#REF!</definedName>
    <definedName name="Typeofswap">#REF!</definedName>
    <definedName name="U1CMT">#REF!</definedName>
    <definedName name="Uncertainty_of_Barrier">#REF!</definedName>
    <definedName name="UnitVector">'[7]MeanVariance'!$L$3:$L$6</definedName>
    <definedName name="Unwind">#REF!</definedName>
    <definedName name="UnwindCost">#REF!</definedName>
    <definedName name="Upper">'[9]SimpleIntegration'!$C$3</definedName>
    <definedName name="UpperBaseTrancheAttach">#REF!</definedName>
    <definedName name="UpperTrancheEURCorrel">#REF!</definedName>
    <definedName name="UpperTrancheUSCorrel">#REF!</definedName>
    <definedName name="UseApprox">'[2]ImpliedDefProb'!$C$14</definedName>
    <definedName name="UseCouponSchedule">#REF!</definedName>
    <definedName name="UseMigrationLoss">#REF!</definedName>
    <definedName name="USExpLoss">#REF!</definedName>
    <definedName name="Val1">'[5]CVA'!$J$3</definedName>
    <definedName name="Val1A">'[14]CVA'!#REF!</definedName>
    <definedName name="Val2">'[5]CVA'!$J$4</definedName>
    <definedName name="Val2A">'[5]CVA'!$I$4</definedName>
    <definedName name="Val3">'[5]CVA'!$J$5</definedName>
    <definedName name="Val3A">'[5]CVA'!$I$5</definedName>
    <definedName name="ValueDate">#REF!</definedName>
    <definedName name="VaR">#REF!</definedName>
    <definedName name="VaR10">#REF!</definedName>
    <definedName name="VAR2">#REF!</definedName>
    <definedName name="VAR3">#REF!</definedName>
    <definedName name="Variables">#REF!</definedName>
    <definedName name="Variance">#REF!</definedName>
    <definedName name="VarianceBarrier">#REF!</definedName>
    <definedName name="vd1">#REF!</definedName>
    <definedName name="vd2">#REF!</definedName>
    <definedName name="vnot">'[10]Class Problems'!$G$39</definedName>
    <definedName name="Vol">'[1]Spreadsheet8.2'!$C$12</definedName>
    <definedName name="Volatilities">#REF!</definedName>
    <definedName name="Volatility">#REF!</definedName>
    <definedName name="VolatilityOfPosition">#REF!</definedName>
    <definedName name="VolCollateral">#REF!</definedName>
    <definedName name="volCurve">#REF!</definedName>
    <definedName name="volCurve2">#REF!</definedName>
    <definedName name="VolExposure">#REF!</definedName>
    <definedName name="VolMC">'[8]MonteCarlo'!$C$7</definedName>
    <definedName name="VolSqrtDt">'[8]MonteCarlo'!$F$7</definedName>
    <definedName name="Volume">#REF!</definedName>
    <definedName name="VolumeToLiquidate">#REF!</definedName>
    <definedName name="vvd1">'[4]TreePricer'!$C$26</definedName>
    <definedName name="WADP">#REF!</definedName>
    <definedName name="wd1">'[4]TreePricer'!$C$27</definedName>
    <definedName name="WeBuyFrom">#REF!</definedName>
    <definedName name="WeightEUR">#REF!</definedName>
    <definedName name="Weights">#REF!</definedName>
    <definedName name="WeightVector">'[7]MeanVariance'!$C$3:$C$6</definedName>
    <definedName name="WeightVector1">'[7]MeanVariance'!$G$18:$G$21</definedName>
    <definedName name="WeightVector2">'[7]MeanVariance'!$K$18:$K$21</definedName>
    <definedName name="WestMarket">#REF!</definedName>
    <definedName name="Workbook">#REF!</definedName>
    <definedName name="Worksheet_List">#REF!</definedName>
    <definedName name="X2OverS">'[6]OptionPricer'!$C$21</definedName>
    <definedName name="xd1">'[6]HedgingSimulation'!$C$14</definedName>
    <definedName name="xd2">'[6]HedgingSimulation'!$C$15</definedName>
    <definedName name="xx">#REF!</definedName>
    <definedName name="YearToMaturity">'[7]Bond Price with Excel'!$B$18</definedName>
    <definedName name="Yield">'[7]Bond Price with Excel'!$B$13</definedName>
    <definedName name="YieldCurveId">#REF!</definedName>
    <definedName name="YieldCurveName">#REF!</definedName>
    <definedName name="zeroCurve">#REF!</definedName>
    <definedName name="ZeroCurveRange">OFFSET(#REF!,1,0,#REF!,1)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Jon Gregory</author>
  </authors>
  <commentList>
    <comment ref="B14" authorId="0">
      <text>
        <r>
          <rPr>
            <sz val="8"/>
            <rFont val="Tahoma"/>
            <family val="2"/>
          </rPr>
          <t xml:space="preserve">approximation described in appendix 7.C
</t>
        </r>
      </text>
    </comment>
    <comment ref="B19" authorId="0">
      <text>
        <r>
          <rPr>
            <sz val="8"/>
            <rFont val="Tahoma"/>
            <family val="2"/>
          </rPr>
          <t xml:space="preserve">calculation described in appendix 7.B
</t>
        </r>
      </text>
    </comment>
    <comment ref="D24" authorId="0">
      <text>
        <r>
          <rPr>
            <sz val="8"/>
            <rFont val="Tahoma"/>
            <family val="2"/>
          </rPr>
          <t xml:space="preserve">This could be calculated from spreadsheet 6.3 more accurately
</t>
        </r>
      </text>
    </comment>
    <comment ref="E24" authorId="0">
      <text>
        <r>
          <rPr>
            <sz val="8"/>
            <rFont val="Tahoma"/>
            <family val="2"/>
          </rPr>
          <t xml:space="preserve">This is a typically interest rate swap EE profile. Some other exposure profiles can be seen in other examples, for example spreadsheet 4.3
</t>
        </r>
      </text>
    </comment>
  </commentList>
</comments>
</file>

<file path=xl/comments2.xml><?xml version="1.0" encoding="utf-8"?>
<comments xmlns="http://schemas.openxmlformats.org/spreadsheetml/2006/main">
  <authors>
    <author>Jon Gregory</author>
    <author>jon</author>
  </authors>
  <commentList>
    <comment ref="E17" authorId="0">
      <text>
        <r>
          <rPr>
            <sz val="8"/>
            <rFont val="Tahoma"/>
            <family val="2"/>
          </rPr>
          <t xml:space="preserve">approximation described in appendix 7.C
</t>
        </r>
      </text>
    </comment>
    <comment ref="B17" authorId="0">
      <text>
        <r>
          <rPr>
            <sz val="8"/>
            <rFont val="Tahoma"/>
            <family val="2"/>
          </rPr>
          <t xml:space="preserve">calculation described in appendix 7.B
</t>
        </r>
      </text>
    </comment>
    <comment ref="E25" authorId="0">
      <text>
        <r>
          <rPr>
            <sz val="8"/>
            <rFont val="Tahoma"/>
            <family val="2"/>
          </rPr>
          <t xml:space="preserve">This could be calculated from spreadsheet 6.3 more accurately
</t>
        </r>
      </text>
    </comment>
    <comment ref="G25" authorId="0">
      <text>
        <r>
          <rPr>
            <sz val="8"/>
            <rFont val="Tahoma"/>
            <family val="2"/>
          </rPr>
          <t xml:space="preserve">This is a typically interest rate swap EE profile. Some other exposure profiles can be seen in other examples, for example spreadsheet 4.3
</t>
        </r>
      </text>
    </comment>
    <comment ref="F25" authorId="1">
      <text>
        <r>
          <rPr>
            <b/>
            <sz val="8"/>
            <rFont val="Tahoma"/>
            <family val="2"/>
          </rPr>
          <t>Of the institution - I've made this negative as a convention to make the graph look more understandable</t>
        </r>
        <r>
          <rPr>
            <sz val="8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rFont val="Tahoma"/>
            <family val="2"/>
          </rPr>
          <t>Negative expected exposure (in this case the profile is almost symmetric with EE a bit bigger than NEE)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 xml:space="preserve">Convert accurate results to spreads to compare with simple results
</t>
        </r>
      </text>
    </comment>
  </commentList>
</comments>
</file>

<file path=xl/sharedStrings.xml><?xml version="1.0" encoding="utf-8"?>
<sst xmlns="http://schemas.openxmlformats.org/spreadsheetml/2006/main" count="86" uniqueCount="62">
  <si>
    <t>Parameters</t>
  </si>
  <si>
    <t>EE</t>
  </si>
  <si>
    <t>EPE</t>
  </si>
  <si>
    <t>Counterparty Recovery</t>
  </si>
  <si>
    <t>Interest rate</t>
  </si>
  <si>
    <t>Approx Calculation</t>
  </si>
  <si>
    <t>Counterparty 5Y Spread</t>
  </si>
  <si>
    <t>CVA (as a spread)</t>
  </si>
  <si>
    <t>Accurate Calculation</t>
  </si>
  <si>
    <t>CVA</t>
  </si>
  <si>
    <t>5Y Risky Duration</t>
  </si>
  <si>
    <t>Cntpty Survives</t>
  </si>
  <si>
    <t>Disc Factor</t>
  </si>
  <si>
    <t>Swap Rate</t>
  </si>
  <si>
    <t>Volatility</t>
  </si>
  <si>
    <t>Interest rates</t>
  </si>
  <si>
    <t>1Y</t>
  </si>
  <si>
    <t>2Y</t>
  </si>
  <si>
    <t>3Y</t>
  </si>
  <si>
    <t>4Y</t>
  </si>
  <si>
    <t>5Y</t>
  </si>
  <si>
    <t>Disc Fact</t>
  </si>
  <si>
    <t>Fwd Rate</t>
  </si>
  <si>
    <t>Fixed Leg</t>
  </si>
  <si>
    <t>Floating Leg</t>
  </si>
  <si>
    <t>Fwd Swap Rate</t>
  </si>
  <si>
    <t>d1</t>
  </si>
  <si>
    <t>DV01</t>
  </si>
  <si>
    <t>d2</t>
  </si>
  <si>
    <t>Pay/Rec</t>
  </si>
  <si>
    <t>Spd payoff</t>
  </si>
  <si>
    <t>Swaption</t>
  </si>
  <si>
    <t>Survival Prob</t>
  </si>
  <si>
    <t>Def Prob</t>
  </si>
  <si>
    <t>CDS Premium</t>
  </si>
  <si>
    <t xml:space="preserve">Recovery </t>
  </si>
  <si>
    <t>Swap Details</t>
  </si>
  <si>
    <t>Risk-free MtM</t>
  </si>
  <si>
    <t>Risky MtM</t>
  </si>
  <si>
    <t>Other parameters</t>
  </si>
  <si>
    <t>Results</t>
  </si>
  <si>
    <t>ENE</t>
  </si>
  <si>
    <t>Institution recovery</t>
  </si>
  <si>
    <t>Counterparty recovery</t>
  </si>
  <si>
    <t>DVA</t>
  </si>
  <si>
    <t>NEE</t>
  </si>
  <si>
    <t>S</t>
  </si>
  <si>
    <t>PAY</t>
  </si>
  <si>
    <t xml:space="preserve">Fixed Freq </t>
  </si>
  <si>
    <t>Floating Freq</t>
  </si>
  <si>
    <t>Cntprty Def Prob</t>
  </si>
  <si>
    <t>Institution spread</t>
  </si>
  <si>
    <t>Counterparty spread</t>
  </si>
  <si>
    <t>Total</t>
  </si>
  <si>
    <t>Instit Def Prob</t>
  </si>
  <si>
    <t>Cross check results</t>
  </si>
  <si>
    <t>Instit survives</t>
  </si>
  <si>
    <t>Cntrpty RD</t>
  </si>
  <si>
    <t>Institution RD</t>
  </si>
  <si>
    <t>CVA (spread)</t>
  </si>
  <si>
    <t>DVA (spread)</t>
  </si>
  <si>
    <t>Hazard Rates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</si>
</sst>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F_-;\-* #,##0\ _F_-;_-* &quot;-&quot;\ _F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.00\ &quot;F&quot;_-;\-* #,##0.00\ &quot;F&quot;_-;_-* &quot;-&quot;??\ &quot;F&quot;_-;_-@_-"/>
    <numFmt numFmtId="168" formatCode="0.000000%"/>
    <numFmt numFmtId="169" formatCode="#,##0.0;\-#,##0.0"/>
    <numFmt numFmtId="170" formatCode="0.0%"/>
    <numFmt numFmtId="171" formatCode="0.00000"/>
    <numFmt numFmtId="172" formatCode="0.0000"/>
    <numFmt numFmtId="173" formatCode="0.0"/>
    <numFmt numFmtId="174" formatCode="0.000%"/>
    <numFmt numFmtId="175" formatCode="0.0000%"/>
    <numFmt numFmtId="176" formatCode="0.000"/>
    <numFmt numFmtId="177" formatCode="_-* #,##0.000_-;\-* #,##0.000_-;_-* &quot;-&quot;??_-;_-@_-"/>
    <numFmt numFmtId="178" formatCode="0.0000000"/>
    <numFmt numFmtId="179" formatCode="0.000000000000000000"/>
    <numFmt numFmtId="180" formatCode="0.00000000000000000"/>
    <numFmt numFmtId="181" formatCode="0.0000000000000000"/>
    <numFmt numFmtId="182" formatCode="0.000000000000000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"/>
    <numFmt numFmtId="191" formatCode="0.0000E+00"/>
    <numFmt numFmtId="192" formatCode="0.000E+00"/>
    <numFmt numFmtId="193" formatCode="0.0E+00"/>
    <numFmt numFmtId="194" formatCode="0.0000000000000000%"/>
    <numFmt numFmtId="195" formatCode="0.E+00"/>
    <numFmt numFmtId="196" formatCode="0.00000%"/>
    <numFmt numFmtId="197" formatCode="_-* #,##0.0_-;\-* #,##0.0_-;_-* &quot;-&quot;??_-;_-@_-"/>
    <numFmt numFmtId="198" formatCode="_-* #,##0_-;\-* #,##0_-;_-* &quot;-&quot;??_-;_-@_-"/>
    <numFmt numFmtId="199" formatCode="#,##0.0"/>
    <numFmt numFmtId="200" formatCode="#,##0.000"/>
    <numFmt numFmtId="201" formatCode="0.00000E+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;@"/>
    <numFmt numFmtId="207" formatCode="[$-809]dd\ mmmm\ yyyy"/>
    <numFmt numFmtId="208" formatCode="dd/mm/yy;@"/>
    <numFmt numFmtId="209" formatCode="_-* #,##0.0000_-;\-* #,##0.0000_-;_-* &quot;-&quot;??_-;_-@_-"/>
    <numFmt numFmtId="210" formatCode="_-* #,##0.0000_-;\-* #,##0.0000_-;_-* &quot;-&quot;????_-;_-@_-"/>
    <numFmt numFmtId="211" formatCode="#,##0_ ;\-#,##0\ "/>
    <numFmt numFmtId="212" formatCode="0.0000000000000%"/>
    <numFmt numFmtId="213" formatCode="0.000000000000000%"/>
    <numFmt numFmtId="214" formatCode="_-* #,##0.0_-;\-* #,##0.0_-;_-* &quot;-&quot;?_-;_-@_-"/>
    <numFmt numFmtId="215" formatCode="0.000000000000000000%"/>
    <numFmt numFmtId="216" formatCode="0.00000000000000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28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3" applyNumberFormat="0" applyFont="0" applyBorder="0" applyAlignment="0" applyProtection="0"/>
    <xf numFmtId="0" fontId="7" fillId="23" borderId="4" applyNumberFormat="0" applyBorder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4" borderId="5" applyNumberFormat="0" applyFont="0" applyBorder="0" applyAlignment="0"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>
      <alignment horizontal="right"/>
      <protection/>
    </xf>
    <xf numFmtId="0" fontId="18" fillId="25" borderId="0" applyNumberFormat="0" applyBorder="0" applyAlignment="0" applyProtection="0"/>
    <xf numFmtId="0" fontId="0" fillId="0" borderId="0">
      <alignment/>
      <protection/>
    </xf>
    <xf numFmtId="0" fontId="1" fillId="26" borderId="10" applyNumberFormat="0" applyFont="0" applyAlignment="0" applyProtection="0"/>
    <xf numFmtId="0" fontId="19" fillId="20" borderId="11" applyNumberFormat="0" applyAlignment="0" applyProtection="0"/>
    <xf numFmtId="9" fontId="0" fillId="0" borderId="0" applyFont="0" applyFill="0" applyBorder="0" applyAlignment="0" applyProtection="0"/>
    <xf numFmtId="0" fontId="20" fillId="27" borderId="12">
      <alignment horizontal="center"/>
      <protection/>
    </xf>
    <xf numFmtId="0" fontId="0" fillId="0" borderId="0">
      <alignment horizontal="left" wrapText="1"/>
      <protection/>
    </xf>
    <xf numFmtId="0" fontId="21" fillId="0" borderId="0">
      <alignment horizontal="center"/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>
      <alignment horizontal="right"/>
      <protection/>
    </xf>
    <xf numFmtId="169" fontId="0" fillId="0" borderId="0">
      <alignment horizontal="center"/>
      <protection/>
    </xf>
  </cellStyleXfs>
  <cellXfs count="102">
    <xf numFmtId="0" fontId="0" fillId="0" borderId="0" xfId="0" applyAlignment="1">
      <alignment/>
    </xf>
    <xf numFmtId="0" fontId="0" fillId="27" borderId="0" xfId="65" applyFill="1">
      <alignment/>
      <protection/>
    </xf>
    <xf numFmtId="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0" xfId="68" applyNumberFormat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30" fillId="0" borderId="19" xfId="0" applyNumberFormat="1" applyFont="1" applyBorder="1" applyAlignment="1" applyProtection="1">
      <alignment/>
      <protection locked="0"/>
    </xf>
    <xf numFmtId="9" fontId="30" fillId="0" borderId="20" xfId="0" applyNumberFormat="1" applyFont="1" applyBorder="1" applyAlignment="1" applyProtection="1">
      <alignment/>
      <protection locked="0"/>
    </xf>
    <xf numFmtId="0" fontId="26" fillId="0" borderId="17" xfId="0" applyFont="1" applyBorder="1" applyAlignment="1">
      <alignment/>
    </xf>
    <xf numFmtId="0" fontId="0" fillId="0" borderId="21" xfId="0" applyBorder="1" applyAlignment="1">
      <alignment/>
    </xf>
    <xf numFmtId="174" fontId="31" fillId="0" borderId="0" xfId="68" applyNumberFormat="1" applyFont="1" applyAlignment="1">
      <alignment/>
    </xf>
    <xf numFmtId="0" fontId="0" fillId="0" borderId="16" xfId="0" applyFill="1" applyBorder="1" applyAlignment="1">
      <alignment/>
    </xf>
    <xf numFmtId="0" fontId="26" fillId="0" borderId="14" xfId="0" applyFont="1" applyBorder="1" applyAlignment="1">
      <alignment/>
    </xf>
    <xf numFmtId="0" fontId="31" fillId="0" borderId="22" xfId="0" applyFont="1" applyBorder="1" applyAlignment="1">
      <alignment/>
    </xf>
    <xf numFmtId="1" fontId="30" fillId="0" borderId="19" xfId="68" applyNumberFormat="1" applyFont="1" applyBorder="1" applyAlignment="1" applyProtection="1">
      <alignment horizontal="right"/>
      <protection locked="0"/>
    </xf>
    <xf numFmtId="0" fontId="0" fillId="0" borderId="15" xfId="0" applyFill="1" applyBorder="1" applyAlignment="1">
      <alignment/>
    </xf>
    <xf numFmtId="10" fontId="0" fillId="0" borderId="23" xfId="68" applyNumberFormat="1" applyFont="1" applyBorder="1" applyAlignment="1">
      <alignment/>
    </xf>
    <xf numFmtId="43" fontId="0" fillId="0" borderId="0" xfId="42" applyAlignment="1">
      <alignment/>
    </xf>
    <xf numFmtId="177" fontId="0" fillId="0" borderId="0" xfId="42" applyNumberFormat="1" applyAlignment="1">
      <alignment/>
    </xf>
    <xf numFmtId="174" fontId="0" fillId="0" borderId="0" xfId="0" applyNumberFormat="1" applyAlignment="1">
      <alignment/>
    </xf>
    <xf numFmtId="174" fontId="0" fillId="0" borderId="0" xfId="68" applyNumberFormat="1" applyAlignment="1">
      <alignment/>
    </xf>
    <xf numFmtId="174" fontId="0" fillId="0" borderId="19" xfId="68" applyNumberFormat="1" applyFont="1" applyBorder="1" applyAlignment="1">
      <alignment/>
    </xf>
    <xf numFmtId="2" fontId="0" fillId="0" borderId="23" xfId="68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15" xfId="0" applyNumberFormat="1" applyBorder="1" applyAlignment="1">
      <alignment/>
    </xf>
    <xf numFmtId="10" fontId="0" fillId="0" borderId="25" xfId="68" applyNumberFormat="1" applyBorder="1" applyAlignment="1">
      <alignment/>
    </xf>
    <xf numFmtId="17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0" fillId="0" borderId="27" xfId="68" applyNumberFormat="1" applyBorder="1" applyAlignment="1">
      <alignment/>
    </xf>
    <xf numFmtId="10" fontId="0" fillId="0" borderId="0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1" fontId="0" fillId="0" borderId="27" xfId="0" applyNumberFormat="1" applyBorder="1" applyAlignment="1">
      <alignment/>
    </xf>
    <xf numFmtId="174" fontId="0" fillId="0" borderId="26" xfId="68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28" xfId="68" applyNumberFormat="1" applyBorder="1" applyAlignment="1">
      <alignment/>
    </xf>
    <xf numFmtId="10" fontId="0" fillId="0" borderId="29" xfId="0" applyNumberFormat="1" applyBorder="1" applyAlignment="1">
      <alignment/>
    </xf>
    <xf numFmtId="171" fontId="0" fillId="0" borderId="28" xfId="0" applyNumberFormat="1" applyBorder="1" applyAlignment="1">
      <alignment/>
    </xf>
    <xf numFmtId="174" fontId="0" fillId="0" borderId="30" xfId="68" applyNumberForma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68" applyNumberFormat="1" applyBorder="1" applyAlignment="1">
      <alignment/>
    </xf>
    <xf numFmtId="173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4" fontId="0" fillId="0" borderId="0" xfId="68" applyNumberFormat="1" applyBorder="1" applyAlignment="1">
      <alignment/>
    </xf>
    <xf numFmtId="10" fontId="0" fillId="0" borderId="0" xfId="68" applyNumberFormat="1" applyFont="1" applyAlignment="1">
      <alignment/>
    </xf>
    <xf numFmtId="174" fontId="0" fillId="0" borderId="0" xfId="68" applyNumberFormat="1" applyFont="1" applyAlignment="1">
      <alignment/>
    </xf>
    <xf numFmtId="171" fontId="0" fillId="0" borderId="0" xfId="0" applyNumberFormat="1" applyAlignment="1">
      <alignment/>
    </xf>
    <xf numFmtId="174" fontId="0" fillId="0" borderId="26" xfId="68" applyNumberFormat="1" applyFont="1" applyBorder="1" applyAlignment="1">
      <alignment/>
    </xf>
    <xf numFmtId="174" fontId="0" fillId="0" borderId="23" xfId="68" applyNumberFormat="1" applyFont="1" applyBorder="1" applyAlignment="1">
      <alignment/>
    </xf>
    <xf numFmtId="174" fontId="0" fillId="0" borderId="20" xfId="0" applyNumberFormat="1" applyBorder="1" applyAlignment="1">
      <alignment/>
    </xf>
    <xf numFmtId="172" fontId="0" fillId="0" borderId="0" xfId="0" applyNumberFormat="1" applyBorder="1" applyAlignment="1">
      <alignment/>
    </xf>
    <xf numFmtId="10" fontId="0" fillId="0" borderId="0" xfId="68" applyNumberFormat="1" applyFont="1" applyBorder="1" applyAlignment="1">
      <alignment/>
    </xf>
    <xf numFmtId="174" fontId="0" fillId="0" borderId="0" xfId="68" applyNumberFormat="1" applyFont="1" applyBorder="1" applyAlignment="1">
      <alignment/>
    </xf>
    <xf numFmtId="172" fontId="0" fillId="0" borderId="29" xfId="0" applyNumberFormat="1" applyBorder="1" applyAlignment="1">
      <alignment/>
    </xf>
    <xf numFmtId="10" fontId="0" fillId="0" borderId="29" xfId="68" applyNumberFormat="1" applyFont="1" applyBorder="1" applyAlignment="1">
      <alignment/>
    </xf>
    <xf numFmtId="0" fontId="0" fillId="0" borderId="29" xfId="0" applyBorder="1" applyAlignment="1">
      <alignment/>
    </xf>
    <xf numFmtId="174" fontId="0" fillId="0" borderId="30" xfId="68" applyNumberFormat="1" applyFon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174" fontId="0" fillId="0" borderId="27" xfId="68" applyNumberFormat="1" applyFont="1" applyBorder="1" applyAlignment="1">
      <alignment/>
    </xf>
    <xf numFmtId="174" fontId="0" fillId="0" borderId="28" xfId="68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0" fillId="0" borderId="23" xfId="0" applyFont="1" applyBorder="1" applyAlignment="1" applyProtection="1">
      <alignment horizontal="right"/>
      <protection locked="0"/>
    </xf>
    <xf numFmtId="0" fontId="30" fillId="0" borderId="20" xfId="0" applyFont="1" applyBorder="1" applyAlignment="1" applyProtection="1">
      <alignment horizontal="right"/>
      <protection locked="0"/>
    </xf>
    <xf numFmtId="0" fontId="30" fillId="0" borderId="23" xfId="0" applyFont="1" applyBorder="1" applyAlignment="1" applyProtection="1">
      <alignment/>
      <protection locked="0"/>
    </xf>
    <xf numFmtId="2" fontId="29" fillId="0" borderId="0" xfId="0" applyNumberFormat="1" applyFont="1" applyAlignment="1" applyProtection="1">
      <alignment/>
      <protection/>
    </xf>
    <xf numFmtId="10" fontId="30" fillId="0" borderId="19" xfId="0" applyNumberFormat="1" applyFont="1" applyBorder="1" applyAlignment="1" applyProtection="1">
      <alignment horizontal="right"/>
      <protection locked="0"/>
    </xf>
    <xf numFmtId="10" fontId="30" fillId="0" borderId="19" xfId="0" applyNumberFormat="1" applyFont="1" applyBorder="1" applyAlignment="1" applyProtection="1">
      <alignment/>
      <protection locked="0"/>
    </xf>
    <xf numFmtId="10" fontId="30" fillId="0" borderId="23" xfId="0" applyNumberFormat="1" applyFont="1" applyBorder="1" applyAlignment="1" applyProtection="1">
      <alignment/>
      <protection locked="0"/>
    </xf>
    <xf numFmtId="10" fontId="30" fillId="0" borderId="20" xfId="0" applyNumberFormat="1" applyFont="1" applyBorder="1" applyAlignment="1" applyProtection="1">
      <alignment/>
      <protection locked="0"/>
    </xf>
    <xf numFmtId="10" fontId="0" fillId="0" borderId="23" xfId="68" applyNumberFormat="1" applyBorder="1" applyAlignment="1">
      <alignment/>
    </xf>
    <xf numFmtId="174" fontId="0" fillId="0" borderId="19" xfId="68" applyNumberFormat="1" applyBorder="1" applyAlignment="1">
      <alignment/>
    </xf>
    <xf numFmtId="2" fontId="0" fillId="0" borderId="23" xfId="68" applyNumberFormat="1" applyBorder="1" applyAlignment="1">
      <alignment/>
    </xf>
    <xf numFmtId="1" fontId="30" fillId="0" borderId="23" xfId="68" applyNumberFormat="1" applyFont="1" applyBorder="1" applyAlignment="1" applyProtection="1">
      <alignment horizontal="right"/>
      <protection locked="0"/>
    </xf>
    <xf numFmtId="2" fontId="0" fillId="0" borderId="23" xfId="0" applyNumberFormat="1" applyBorder="1" applyAlignment="1">
      <alignment/>
    </xf>
    <xf numFmtId="9" fontId="30" fillId="0" borderId="23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74" fontId="0" fillId="0" borderId="29" xfId="68" applyNumberFormat="1" applyFont="1" applyBorder="1" applyAlignment="1">
      <alignment/>
    </xf>
    <xf numFmtId="10" fontId="0" fillId="0" borderId="27" xfId="0" applyNumberFormat="1" applyBorder="1" applyAlignment="1">
      <alignment/>
    </xf>
    <xf numFmtId="10" fontId="0" fillId="0" borderId="27" xfId="68" applyNumberFormat="1" applyFont="1" applyBorder="1" applyAlignment="1">
      <alignment/>
    </xf>
    <xf numFmtId="10" fontId="0" fillId="0" borderId="28" xfId="68" applyNumberFormat="1" applyFont="1" applyBorder="1" applyAlignment="1">
      <alignment/>
    </xf>
    <xf numFmtId="0" fontId="0" fillId="0" borderId="31" xfId="0" applyFill="1" applyBorder="1" applyAlignment="1">
      <alignment/>
    </xf>
    <xf numFmtId="2" fontId="0" fillId="0" borderId="32" xfId="0" applyNumberFormat="1" applyBorder="1" applyAlignment="1">
      <alignment/>
    </xf>
    <xf numFmtId="0" fontId="0" fillId="0" borderId="22" xfId="0" applyBorder="1" applyAlignment="1">
      <alignment/>
    </xf>
    <xf numFmtId="9" fontId="30" fillId="0" borderId="23" xfId="0" applyNumberFormat="1" applyFont="1" applyBorder="1" applyAlignment="1" applyProtection="1">
      <alignment/>
      <protection locked="0"/>
    </xf>
    <xf numFmtId="1" fontId="30" fillId="0" borderId="20" xfId="68" applyNumberFormat="1" applyFont="1" applyBorder="1" applyAlignment="1" applyProtection="1">
      <alignment horizontal="right"/>
      <protection locked="0"/>
    </xf>
    <xf numFmtId="174" fontId="0" fillId="0" borderId="20" xfId="68" applyNumberFormat="1" applyFont="1" applyBorder="1" applyAlignment="1">
      <alignment/>
    </xf>
    <xf numFmtId="10" fontId="0" fillId="0" borderId="28" xfId="0" applyNumberFormat="1" applyBorder="1" applyAlignment="1">
      <alignment/>
    </xf>
    <xf numFmtId="10" fontId="40" fillId="0" borderId="0" xfId="68" applyNumberFormat="1" applyFont="1" applyAlignment="1">
      <alignment/>
    </xf>
    <xf numFmtId="198" fontId="0" fillId="0" borderId="0" xfId="42" applyNumberFormat="1" applyFont="1" applyAlignment="1">
      <alignment/>
    </xf>
    <xf numFmtId="0" fontId="26" fillId="0" borderId="17" xfId="0" applyFont="1" applyBorder="1" applyAlignment="1">
      <alignment horizontal="center"/>
    </xf>
    <xf numFmtId="0" fontId="26" fillId="0" borderId="21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Input" xfId="47"/>
    <cellStyle name="Explanatory Text" xfId="48"/>
    <cellStyle name="Followed Hyperlink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illiers [0]_rating factor" xfId="59"/>
    <cellStyle name="Milliers_rating factor" xfId="60"/>
    <cellStyle name="Monétaire [0]_rating factor" xfId="61"/>
    <cellStyle name="Monétaire_rating factor" xfId="62"/>
    <cellStyle name="Month" xfId="63"/>
    <cellStyle name="Neutral" xfId="64"/>
    <cellStyle name="Normal_LFS_CollateralandCntrptyRisk" xfId="65"/>
    <cellStyle name="Note" xfId="66"/>
    <cellStyle name="Output" xfId="67"/>
    <cellStyle name="Percent" xfId="68"/>
    <cellStyle name="PricingProducts" xfId="69"/>
    <cellStyle name="Style 1" xfId="70"/>
    <cellStyle name="TIMES" xfId="71"/>
    <cellStyle name="Title" xfId="72"/>
    <cellStyle name="Total" xfId="73"/>
    <cellStyle name="Warning Text" xfId="74"/>
    <cellStyle name="WASP_PLStyle" xfId="75"/>
    <cellStyle name="Year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675"/>
          <c:w val="0.9675"/>
          <c:h val="0.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'Spreadsheet7.1'!$D$24</c:f>
              <c:strCache>
                <c:ptCount val="1"/>
                <c:pt idx="0">
                  <c:v>Def Prob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'Spreadsheet7.1'!$B$25:$B$150</c:f>
              <c:numCache/>
            </c:numRef>
          </c:xVal>
          <c:yVal>
            <c:numRef>
              <c:f>'Spreadsheet7.1'!$D$25:$D$150</c:f>
              <c:numCache/>
            </c:numRef>
          </c:yVal>
          <c:smooth val="1"/>
        </c:ser>
        <c:ser>
          <c:idx val="1"/>
          <c:order val="1"/>
          <c:tx>
            <c:strRef>
              <c:f>'Spreadsheet7.1'!$E$24</c:f>
              <c:strCache>
                <c:ptCount val="1"/>
                <c:pt idx="0">
                  <c:v>EE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'Spreadsheet7.1'!$B$25:$B$150</c:f>
              <c:numCache/>
            </c:numRef>
          </c:xVal>
          <c:yVal>
            <c:numRef>
              <c:f>'Spreadsheet7.1'!$E$25:$E$150</c:f>
              <c:numCache/>
            </c:numRef>
          </c:yVal>
          <c:smooth val="1"/>
        </c:ser>
        <c:axId val="52299419"/>
        <c:axId val="932724"/>
      </c:scatterChart>
      <c:valAx>
        <c:axId val="52299419"/>
        <c:scaling>
          <c:orientation val="minMax"/>
          <c:max val="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 val="autoZero"/>
        <c:crossBetween val="midCat"/>
        <c:dispUnits/>
      </c:valAx>
      <c:valAx>
        <c:axId val="932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9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725"/>
          <c:y val="0.01275"/>
          <c:w val="0.3607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15"/>
          <c:w val="0.96425"/>
          <c:h val="0.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'Spreadsheet7.1b'!$E$25</c:f>
              <c:strCache>
                <c:ptCount val="1"/>
                <c:pt idx="0">
                  <c:v>Cntprty Def Prob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'Spreadsheet7.1b'!$B$26:$B$151</c:f>
              <c:numCache/>
            </c:numRef>
          </c:xVal>
          <c:yVal>
            <c:numRef>
              <c:f>'Spreadsheet7.1b'!$E$26:$E$151</c:f>
              <c:numCache/>
            </c:numRef>
          </c:yVal>
          <c:smooth val="1"/>
        </c:ser>
        <c:ser>
          <c:idx val="1"/>
          <c:order val="1"/>
          <c:tx>
            <c:strRef>
              <c:f>'Spreadsheet7.1b'!$F$25</c:f>
              <c:strCache>
                <c:ptCount val="1"/>
                <c:pt idx="0">
                  <c:v>Instit Def Prob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'Spreadsheet7.1b'!$B$26:$B$151</c:f>
              <c:numCache/>
            </c:numRef>
          </c:xVal>
          <c:yVal>
            <c:numRef>
              <c:f>'Spreadsheet7.1b'!$F$26:$F$151</c:f>
              <c:numCache/>
            </c:numRef>
          </c:yVal>
          <c:smooth val="1"/>
        </c:ser>
        <c:ser>
          <c:idx val="2"/>
          <c:order val="2"/>
          <c:tx>
            <c:strRef>
              <c:f>'Spreadsheet7.1b'!$G$25</c:f>
              <c:strCache>
                <c:ptCount val="1"/>
                <c:pt idx="0">
                  <c:v>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'Spreadsheet7.1b'!$B$26:$B$151</c:f>
              <c:numCache/>
            </c:numRef>
          </c:xVal>
          <c:yVal>
            <c:numRef>
              <c:f>'Spreadsheet7.1b'!$G$26:$G$151</c:f>
              <c:numCache/>
            </c:numRef>
          </c:yVal>
          <c:smooth val="1"/>
        </c:ser>
        <c:ser>
          <c:idx val="3"/>
          <c:order val="3"/>
          <c:tx>
            <c:strRef>
              <c:f>'Spreadsheet7.1b'!$H$25</c:f>
              <c:strCache>
                <c:ptCount val="1"/>
                <c:pt idx="0">
                  <c:v>NEE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'Spreadsheet7.1b'!$B$26:$B$151</c:f>
              <c:numCache/>
            </c:numRef>
          </c:xVal>
          <c:yVal>
            <c:numRef>
              <c:f>'Spreadsheet7.1b'!$H$26:$H$151</c:f>
              <c:numCache/>
            </c:numRef>
          </c:yVal>
          <c:smooth val="1"/>
        </c:ser>
        <c:axId val="8394517"/>
        <c:axId val="8441790"/>
      </c:scatterChart>
      <c:valAx>
        <c:axId val="8394517"/>
        <c:scaling>
          <c:orientation val="minMax"/>
          <c:max val="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 val="autoZero"/>
        <c:crossBetween val="midCat"/>
        <c:dispUnits/>
      </c:valAx>
      <c:valAx>
        <c:axId val="8441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94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75"/>
          <c:y val="0.01325"/>
          <c:w val="0.91975"/>
          <c:h val="0.10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15825"/>
          <c:w val="0.8545"/>
          <c:h val="0.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'Spreadsheet7.2'!$P$9</c:f>
              <c:strCache>
                <c:ptCount val="1"/>
                <c:pt idx="0">
                  <c:v>Swaption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'Spreadsheet7.2'!$F$10:$F$110</c:f>
              <c:numCache/>
            </c:numRef>
          </c:xVal>
          <c:yVal>
            <c:numRef>
              <c:f>'Spreadsheet7.2'!$P$10:$P$110</c:f>
              <c:numCache/>
            </c:numRef>
          </c:yVal>
          <c:smooth val="1"/>
        </c:ser>
        <c:axId val="8867247"/>
        <c:axId val="12696360"/>
      </c:scatterChart>
      <c:scatterChart>
        <c:scatterStyle val="lineMarker"/>
        <c:varyColors val="0"/>
        <c:ser>
          <c:idx val="1"/>
          <c:order val="1"/>
          <c:tx>
            <c:strRef>
              <c:f>'Spreadsheet7.2'!$R$9</c:f>
              <c:strCache>
                <c:ptCount val="1"/>
                <c:pt idx="0">
                  <c:v>Def Prob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'Spreadsheet7.2'!$F$10:$F$110</c:f>
              <c:numCache/>
            </c:numRef>
          </c:xVal>
          <c:yVal>
            <c:numRef>
              <c:f>'Spreadsheet7.2'!$R$10:$R$110</c:f>
              <c:numCache/>
            </c:numRef>
          </c:yVal>
          <c:smooth val="0"/>
        </c:ser>
        <c:axId val="47158377"/>
        <c:axId val="21772210"/>
      </c:scatterChart>
      <c:valAx>
        <c:axId val="886724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360"/>
        <c:crosses val="autoZero"/>
        <c:crossBetween val="midCat"/>
        <c:dispUnits/>
      </c:valAx>
      <c:valAx>
        <c:axId val="12696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autoZero"/>
        <c:crossBetween val="midCat"/>
        <c:dispUnits/>
      </c:valAx>
      <c:valAx>
        <c:axId val="47158377"/>
        <c:scaling>
          <c:orientation val="minMax"/>
        </c:scaling>
        <c:axPos val="b"/>
        <c:delete val="1"/>
        <c:majorTickMark val="out"/>
        <c:minorTickMark val="none"/>
        <c:tickLblPos val="nextTo"/>
        <c:crossAx val="21772210"/>
        <c:crosses val="max"/>
        <c:crossBetween val="midCat"/>
        <c:dispUnits/>
      </c:valAx>
      <c:valAx>
        <c:axId val="2177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Default probability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625"/>
          <c:y val="0.0125"/>
          <c:w val="0.41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oftraining.com/" TargetMode="Externa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4476750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CVA Calculations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standard CVA calculations under the assumption of no wrong-way risk.
</a:t>
          </a:r>
        </a:p>
      </xdr:txBody>
    </xdr:sp>
    <xdr:clientData/>
  </xdr:twoCellAnchor>
  <xdr:twoCellAnchor>
    <xdr:from>
      <xdr:col>5</xdr:col>
      <xdr:colOff>447675</xdr:colOff>
      <xdr:row>2</xdr:row>
      <xdr:rowOff>114300</xdr:rowOff>
    </xdr:from>
    <xdr:to>
      <xdr:col>8</xdr:col>
      <xdr:colOff>571500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4610100" y="438150"/>
          <a:ext cx="2228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5</xdr:col>
      <xdr:colOff>95250</xdr:colOff>
      <xdr:row>8</xdr:row>
      <xdr:rowOff>19050</xdr:rowOff>
    </xdr:from>
    <xdr:to>
      <xdr:col>11</xdr:col>
      <xdr:colOff>180975</xdr:colOff>
      <xdr:row>22</xdr:row>
      <xdr:rowOff>0</xdr:rowOff>
    </xdr:to>
    <xdr:graphicFrame>
      <xdr:nvGraphicFramePr>
        <xdr:cNvPr id="3" name="Chart 1"/>
        <xdr:cNvGraphicFramePr/>
      </xdr:nvGraphicFramePr>
      <xdr:xfrm>
        <a:off x="4257675" y="1314450"/>
        <a:ext cx="40195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496252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CVA and DVA Calculations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Simple standard CVA calculations under the assumption of no wrong-way risk.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exercise is not referred to in the book but includes an additional calculation of DVA</a:t>
          </a:r>
        </a:p>
      </xdr:txBody>
    </xdr:sp>
    <xdr:clientData/>
  </xdr:twoCellAnchor>
  <xdr:twoCellAnchor>
    <xdr:from>
      <xdr:col>5</xdr:col>
      <xdr:colOff>447675</xdr:colOff>
      <xdr:row>2</xdr:row>
      <xdr:rowOff>114300</xdr:rowOff>
    </xdr:from>
    <xdr:to>
      <xdr:col>8</xdr:col>
      <xdr:colOff>571500</xdr:colOff>
      <xdr:row>5</xdr:row>
      <xdr:rowOff>66675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5095875" y="438150"/>
          <a:ext cx="2438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6</xdr:col>
      <xdr:colOff>219075</xdr:colOff>
      <xdr:row>8</xdr:row>
      <xdr:rowOff>133350</xdr:rowOff>
    </xdr:from>
    <xdr:to>
      <xdr:col>11</xdr:col>
      <xdr:colOff>600075</xdr:colOff>
      <xdr:row>22</xdr:row>
      <xdr:rowOff>47625</xdr:rowOff>
    </xdr:to>
    <xdr:graphicFrame>
      <xdr:nvGraphicFramePr>
        <xdr:cNvPr id="3" name="Chart 1"/>
        <xdr:cNvGraphicFramePr/>
      </xdr:nvGraphicFramePr>
      <xdr:xfrm>
        <a:off x="5715000" y="1428750"/>
        <a:ext cx="36480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266700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5172075" cy="1123950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Semi-Analytical Swap CVA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Semi-analytical calculation of CVA for an interest-rate swap. Some simplifying assumptions are made for the swap calculation.</a:t>
          </a:r>
        </a:p>
      </xdr:txBody>
    </xdr:sp>
    <xdr:clientData/>
  </xdr:twoCellAnchor>
  <xdr:twoCellAnchor>
    <xdr:from>
      <xdr:col>7</xdr:col>
      <xdr:colOff>409575</xdr:colOff>
      <xdr:row>2</xdr:row>
      <xdr:rowOff>85725</xdr:rowOff>
    </xdr:from>
    <xdr:to>
      <xdr:col>10</xdr:col>
      <xdr:colOff>533400</xdr:colOff>
      <xdr:row>5</xdr:row>
      <xdr:rowOff>152400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5324475" y="409575"/>
          <a:ext cx="2066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Jon Gregory (jon@oftraining.com)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www.oftraining.com</a:t>
          </a:r>
        </a:p>
      </xdr:txBody>
    </xdr:sp>
    <xdr:clientData/>
  </xdr:twoCellAnchor>
  <xdr:twoCellAnchor>
    <xdr:from>
      <xdr:col>5</xdr:col>
      <xdr:colOff>104775</xdr:colOff>
      <xdr:row>11</xdr:row>
      <xdr:rowOff>66675</xdr:rowOff>
    </xdr:from>
    <xdr:to>
      <xdr:col>11</xdr:col>
      <xdr:colOff>533400</xdr:colOff>
      <xdr:row>25</xdr:row>
      <xdr:rowOff>104775</xdr:rowOff>
    </xdr:to>
    <xdr:graphicFrame>
      <xdr:nvGraphicFramePr>
        <xdr:cNvPr id="3" name="Chart 4"/>
        <xdr:cNvGraphicFramePr/>
      </xdr:nvGraphicFramePr>
      <xdr:xfrm>
        <a:off x="3800475" y="1866900"/>
        <a:ext cx="45339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con422PresentValueProblem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QTinRM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rseSpreadsheets\QTinRM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rseSpreadsheets\BilateralCntrptyRiskCalcs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rseSpreadsheets\CntrptyRiskEuromoneyOLD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Book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PricingExamples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StructuringandPricingCreditDerivs\CreditDerivsExamp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NP_BasketCDOPrice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StructuringandPricingCreditDerivs\CreditDerivsExamp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LFSModernCreditDerivs\LFS_MCD_Deleg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TrainingCourses\StructuringandPricingCreditDerivs\CreditDerivsExamples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nvertibleBondsandCSA\CB_CSA_Example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n\Documents\TrainingCourses\CounterpartyRiskandCollateralManagement\CntrptyRiskEuromoneyExamples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QTinRM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uromoneyExamples_FMforNQ_Day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uromoneyExamples_FMforNQ_Day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n%20Gregory\My%20Documents\MotivationalTraining\CourseSpreadsheets\EuromoneyExamples_FMforNQ_Da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eadsheet8.1"/>
      <sheetName val="Spreadsheet8.2"/>
      <sheetName val="Spreadsheet8.3"/>
      <sheetName val="Spreadsheet8.4"/>
    </sheetNames>
    <sheetDataSet>
      <sheetData sheetId="1">
        <row r="10">
          <cell r="C10">
            <v>100</v>
          </cell>
          <cell r="F10">
            <v>105.12710963760242</v>
          </cell>
        </row>
        <row r="11">
          <cell r="C11">
            <v>100</v>
          </cell>
          <cell r="F11">
            <v>0.325</v>
          </cell>
        </row>
        <row r="12">
          <cell r="C12">
            <v>0.25</v>
          </cell>
          <cell r="F12">
            <v>0.07500000000000029</v>
          </cell>
        </row>
        <row r="13">
          <cell r="C13">
            <v>1</v>
          </cell>
          <cell r="F13">
            <v>0.09516258196404048</v>
          </cell>
        </row>
        <row r="14">
          <cell r="C14">
            <v>0.05</v>
          </cell>
          <cell r="F14">
            <v>-1.3096177994584934</v>
          </cell>
        </row>
        <row r="16">
          <cell r="C16">
            <v>0.25</v>
          </cell>
        </row>
      </sheetData>
      <sheetData sheetId="3">
        <row r="12">
          <cell r="C12">
            <v>100</v>
          </cell>
        </row>
        <row r="13">
          <cell r="C13">
            <v>100</v>
          </cell>
        </row>
        <row r="14">
          <cell r="C14">
            <v>0.4</v>
          </cell>
        </row>
        <row r="15">
          <cell r="C15">
            <v>0.4</v>
          </cell>
        </row>
        <row r="16">
          <cell r="C16">
            <v>0.5</v>
          </cell>
        </row>
        <row r="17">
          <cell r="C1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 Problems"/>
      <sheetName val="PV functions"/>
      <sheetName val="Sheet3"/>
    </sheetNames>
    <sheetDataSet>
      <sheetData sheetId="0">
        <row r="39">
          <cell r="G39">
            <v>10000000</v>
          </cell>
          <cell r="H39">
            <v>0.05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ComputingVolatility"/>
      <sheetName val="Data"/>
      <sheetName val="VarCovarExample"/>
      <sheetName val="HistoricalSimulation"/>
      <sheetName val="MonteCarloSimulation"/>
      <sheetName val="Compare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Portfolio"/>
      <sheetName val="MonteCarlo"/>
      <sheetName val="HomogeneousApproximation"/>
      <sheetName val="ConditionalNormalApproximation"/>
      <sheetName val="Recursion"/>
      <sheetName val="Compare"/>
      <sheetName val="IntegrationPoints"/>
    </sheetNames>
    <sheetDataSet>
      <sheetData sheetId="3">
        <row r="6">
          <cell r="C6">
            <v>100</v>
          </cell>
        </row>
        <row r="7">
          <cell r="C7">
            <v>110</v>
          </cell>
        </row>
        <row r="16">
          <cell r="C16">
            <v>15.210083301374098</v>
          </cell>
        </row>
        <row r="17">
          <cell r="C17">
            <v>94.78991669862592</v>
          </cell>
        </row>
        <row r="24">
          <cell r="C24">
            <v>0.827048398046238</v>
          </cell>
        </row>
        <row r="25">
          <cell r="C25">
            <v>4.3602716212886605</v>
          </cell>
        </row>
      </sheetData>
      <sheetData sheetId="4">
        <row r="6">
          <cell r="C6">
            <v>100</v>
          </cell>
        </row>
        <row r="7">
          <cell r="C7">
            <v>0.5</v>
          </cell>
        </row>
        <row r="8">
          <cell r="C8">
            <v>0.3</v>
          </cell>
        </row>
        <row r="9">
          <cell r="C9">
            <v>0.5</v>
          </cell>
        </row>
        <row r="10">
          <cell r="C10">
            <v>100</v>
          </cell>
        </row>
        <row r="11">
          <cell r="C11">
            <v>5</v>
          </cell>
        </row>
        <row r="14">
          <cell r="C14">
            <v>0.3333333333333333</v>
          </cell>
        </row>
        <row r="15">
          <cell r="C15">
            <v>0.8034647195462633</v>
          </cell>
        </row>
        <row r="16">
          <cell r="C16">
            <v>3.2825228511156315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ndomNumbers"/>
      <sheetName val="RandomVariables"/>
      <sheetName val="Sheet1"/>
      <sheetName val="Sheet2"/>
      <sheetName val="Exposure"/>
      <sheetName val="Sheet3"/>
      <sheetName val="Sheet4"/>
      <sheetName val="Credit"/>
      <sheetName val="Results"/>
      <sheetName val="Batch"/>
    </sheetNames>
    <sheetDataSet>
      <sheetData sheetId="0">
        <row r="4">
          <cell r="B4">
            <v>0.1668250983026931</v>
          </cell>
          <cell r="H4">
            <v>-0.19375268532755768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"/>
      <sheetName val="MonteCarlo"/>
      <sheetName val="Information"/>
      <sheetName val="ExposureSim"/>
      <sheetName val="Netting"/>
      <sheetName val="PFE and Netting"/>
      <sheetName val="Impact of PV"/>
      <sheetName val="EPEAllocation"/>
      <sheetName val="CollateralMarginCall"/>
      <sheetName val="CVA"/>
      <sheetName val="CDSCntrptyRis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>
        <row r="4">
          <cell r="D4">
            <v>0.1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ketPricer"/>
      <sheetName val="CDSStripper"/>
      <sheetName val="IndexBasis"/>
      <sheetName val="DefTime"/>
      <sheetName val="NumDefaults"/>
      <sheetName val="Survival"/>
      <sheetName val="Mapping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CDSStripper"/>
      <sheetName val="BaseCorrelation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Basket"/>
      <sheetName val="CD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CDSStripper"/>
      <sheetName val="BaseCorrelation"/>
      <sheetName val="Bespoke"/>
    </sheetNames>
    <sheetDataSet>
      <sheetData sheetId="5">
        <row r="8">
          <cell r="D8">
            <v>0.6</v>
          </cell>
        </row>
      </sheetData>
      <sheetData sheetId="6">
        <row r="10">
          <cell r="D10">
            <v>4.3</v>
          </cell>
        </row>
      </sheetData>
      <sheetData sheetId="7">
        <row r="10">
          <cell r="I10">
            <v>146.43600646972706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efulExcelFormulas"/>
      <sheetName val="SimpleSpreadCDSPricer"/>
      <sheetName val="Bond-CDS Basis"/>
      <sheetName val="IndexBasis"/>
      <sheetName val="CancellableCDS"/>
      <sheetName val="CMDS"/>
      <sheetName val="BasketPricer"/>
      <sheetName val="BasketMC"/>
      <sheetName val="HistoricalDefProbs"/>
      <sheetName val="ImpliedDefProb"/>
      <sheetName val="CDOPricer"/>
      <sheetName val="BaseCorrelation"/>
      <sheetName val="Bespoke"/>
      <sheetName val="CDSCntrptyRisk"/>
    </sheetNames>
    <sheetDataSet>
      <sheetData sheetId="1">
        <row r="12">
          <cell r="C12">
            <v>250</v>
          </cell>
        </row>
        <row r="14">
          <cell r="C14">
            <v>0.4</v>
          </cell>
        </row>
        <row r="15">
          <cell r="C15">
            <v>5</v>
          </cell>
        </row>
        <row r="19">
          <cell r="C19">
            <v>4.010872776150003</v>
          </cell>
        </row>
      </sheetData>
      <sheetData sheetId="2">
        <row r="9">
          <cell r="Q9">
            <v>5</v>
          </cell>
        </row>
        <row r="11">
          <cell r="C11">
            <v>0.05</v>
          </cell>
        </row>
        <row r="13">
          <cell r="C13">
            <v>0.07</v>
          </cell>
        </row>
        <row r="14">
          <cell r="C14">
            <v>0.4</v>
          </cell>
        </row>
        <row r="19">
          <cell r="C19">
            <v>4.397256061459341</v>
          </cell>
        </row>
        <row r="21">
          <cell r="C21">
            <v>0.30227097813081494</v>
          </cell>
        </row>
      </sheetData>
      <sheetData sheetId="4">
        <row r="12">
          <cell r="C12">
            <v>2</v>
          </cell>
        </row>
        <row r="17">
          <cell r="F17">
            <v>0</v>
          </cell>
        </row>
        <row r="18">
          <cell r="F18">
            <v>354.94586357346907</v>
          </cell>
        </row>
        <row r="22">
          <cell r="F22" t="e">
            <v>#NUM!</v>
          </cell>
        </row>
      </sheetData>
      <sheetData sheetId="5">
        <row r="12">
          <cell r="C12">
            <v>5</v>
          </cell>
        </row>
        <row r="15">
          <cell r="B15" t="str">
            <v>CDS Curve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6</v>
          </cell>
        </row>
        <row r="23">
          <cell r="B23">
            <v>7</v>
          </cell>
        </row>
        <row r="24">
          <cell r="B24">
            <v>8</v>
          </cell>
        </row>
        <row r="25">
          <cell r="B25">
            <v>9</v>
          </cell>
        </row>
        <row r="26">
          <cell r="B26">
            <v>10</v>
          </cell>
        </row>
      </sheetData>
      <sheetData sheetId="6">
        <row r="14">
          <cell r="C14">
            <v>5</v>
          </cell>
        </row>
        <row r="15">
          <cell r="C15">
            <v>0</v>
          </cell>
        </row>
      </sheetData>
      <sheetData sheetId="7">
        <row r="11">
          <cell r="C11">
            <v>0.4</v>
          </cell>
        </row>
      </sheetData>
      <sheetData sheetId="9">
        <row r="11">
          <cell r="K11" t="str">
            <v>MTM</v>
          </cell>
        </row>
        <row r="14">
          <cell r="C14" t="b">
            <v>0</v>
          </cell>
        </row>
      </sheetData>
      <sheetData sheetId="10">
        <row r="11">
          <cell r="C11">
            <v>0.4</v>
          </cell>
          <cell r="G11" t="e">
            <v>#VALUE!</v>
          </cell>
        </row>
        <row r="12">
          <cell r="C12">
            <v>5</v>
          </cell>
          <cell r="G12" t="e">
            <v>#VALUE!</v>
          </cell>
        </row>
        <row r="13">
          <cell r="C13">
            <v>100</v>
          </cell>
        </row>
        <row r="14">
          <cell r="C14">
            <v>0.05</v>
          </cell>
          <cell r="K14" t="str">
            <v>Payoff</v>
          </cell>
          <cell r="L14" t="str">
            <v>Marg Payoff</v>
          </cell>
          <cell r="Q14">
            <v>0.3004221783431987</v>
          </cell>
        </row>
        <row r="15">
          <cell r="C15">
            <v>50</v>
          </cell>
          <cell r="Q15" t="e">
            <v>#NUM!</v>
          </cell>
        </row>
        <row r="16">
          <cell r="Q16">
            <v>1.004987562112089</v>
          </cell>
        </row>
        <row r="17">
          <cell r="C17">
            <v>0.04</v>
          </cell>
        </row>
        <row r="18">
          <cell r="C18">
            <v>0.08</v>
          </cell>
        </row>
        <row r="19">
          <cell r="C19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HistoricalDefProbs"/>
      <sheetName val="RecoveryRates"/>
      <sheetName val="Merton"/>
      <sheetName val="CreditGrades"/>
      <sheetName val="BaselIIFormula"/>
      <sheetName val="BlackModel"/>
      <sheetName val="IndexBasis"/>
      <sheetName val="BasketMC"/>
      <sheetName val="BasketAnalytical"/>
      <sheetName val="ImpliedDefProb"/>
      <sheetName val="BaseCorrelation"/>
      <sheetName val="Bespoke"/>
    </sheetNames>
    <sheetDataSet>
      <sheetData sheetId="3">
        <row r="13">
          <cell r="C13">
            <v>1</v>
          </cell>
        </row>
      </sheetData>
      <sheetData sheetId="11">
        <row r="16">
          <cell r="C16" t="str">
            <v>Linear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BondConvexity"/>
      <sheetName val="HistoricalDefProbs"/>
      <sheetName val="CDSStripper"/>
      <sheetName val="Merton"/>
      <sheetName val="CreditGrades"/>
      <sheetName val="CreditGradesFordExample"/>
      <sheetName val="TradingStrategy"/>
      <sheetName val="TreePricer"/>
      <sheetName val="UnderlyingValueTree"/>
      <sheetName val="OptionPriceTree"/>
      <sheetName val="HedgingSimulation"/>
      <sheetName val="CB_CSA_Examples1"/>
    </sheetNames>
    <sheetDataSet>
      <sheetData sheetId="5">
        <row r="9">
          <cell r="C9">
            <v>0.579</v>
          </cell>
        </row>
      </sheetData>
      <sheetData sheetId="7">
        <row r="8">
          <cell r="C8">
            <v>2.19</v>
          </cell>
        </row>
        <row r="9">
          <cell r="C9">
            <v>937.1943331576649</v>
          </cell>
        </row>
        <row r="10">
          <cell r="C10">
            <v>20</v>
          </cell>
        </row>
      </sheetData>
      <sheetData sheetId="8">
        <row r="9">
          <cell r="C9" t="str">
            <v>Put</v>
          </cell>
        </row>
        <row r="10">
          <cell r="C10">
            <v>500</v>
          </cell>
        </row>
        <row r="11">
          <cell r="C11" t="str">
            <v>No</v>
          </cell>
        </row>
        <row r="14">
          <cell r="C14">
            <v>20</v>
          </cell>
        </row>
        <row r="18">
          <cell r="C18">
            <v>0.04</v>
          </cell>
        </row>
        <row r="22">
          <cell r="C22">
            <v>5.316522746695687</v>
          </cell>
        </row>
        <row r="26">
          <cell r="C26">
            <v>0.17185624377065137</v>
          </cell>
        </row>
        <row r="27">
          <cell r="C27">
            <v>-0.27535735172930664</v>
          </cell>
        </row>
      </sheetData>
      <sheetData sheetId="11">
        <row r="4">
          <cell r="R4" t="str">
            <v>Simulation Results</v>
          </cell>
        </row>
        <row r="10">
          <cell r="L10">
            <v>1.7484008127580757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ExposureSim"/>
      <sheetName val="Netting"/>
      <sheetName val="HistoricalDefProbs"/>
      <sheetName val="CDSStripper"/>
      <sheetName val="PFE and Netting"/>
      <sheetName val="CVA"/>
      <sheetName val="EPEAllocation"/>
      <sheetName val="Impact of PV"/>
      <sheetName val="CollateralMarginCall"/>
      <sheetName val="Portfolio"/>
      <sheetName val="MonteCarlo"/>
      <sheetName val="CDSCntrptyRisk"/>
      <sheetName val="SimpleWrongWay"/>
    </sheetNames>
    <sheetDataSet>
      <sheetData sheetId="2">
        <row r="8">
          <cell r="D8">
            <v>5</v>
          </cell>
        </row>
        <row r="9">
          <cell r="D9">
            <v>10</v>
          </cell>
        </row>
      </sheetData>
      <sheetData sheetId="4">
        <row r="9">
          <cell r="C9" t="str">
            <v>Hazard Rate</v>
          </cell>
          <cell r="H9" t="str">
            <v>Error</v>
          </cell>
        </row>
        <row r="10">
          <cell r="L10">
            <v>0.016391422743333293</v>
          </cell>
        </row>
      </sheetData>
      <sheetData sheetId="6">
        <row r="8">
          <cell r="D8">
            <v>0.0375</v>
          </cell>
        </row>
        <row r="13">
          <cell r="C13">
            <v>0.05</v>
          </cell>
        </row>
      </sheetData>
      <sheetData sheetId="7">
        <row r="7">
          <cell r="H7">
            <v>1</v>
          </cell>
          <cell r="I7">
            <v>1</v>
          </cell>
        </row>
        <row r="22">
          <cell r="C22">
            <v>-1.0229796438974148</v>
          </cell>
          <cell r="D22">
            <v>4.442743889302658</v>
          </cell>
        </row>
        <row r="23">
          <cell r="C23">
            <v>3.4197642454052435</v>
          </cell>
        </row>
      </sheetData>
      <sheetData sheetId="8">
        <row r="19">
          <cell r="C19">
            <v>0.036342645260068154</v>
          </cell>
        </row>
      </sheetData>
      <sheetData sheetId="9">
        <row r="6">
          <cell r="C6">
            <v>500000</v>
          </cell>
          <cell r="G6">
            <v>250000</v>
          </cell>
        </row>
        <row r="7">
          <cell r="C7">
            <v>0</v>
          </cell>
          <cell r="D7">
            <v>0</v>
          </cell>
          <cell r="G7">
            <v>10</v>
          </cell>
        </row>
        <row r="8">
          <cell r="D8">
            <v>100000000</v>
          </cell>
          <cell r="G8">
            <v>10121971</v>
          </cell>
        </row>
        <row r="9">
          <cell r="C9">
            <v>500000</v>
          </cell>
          <cell r="G9">
            <v>1000</v>
          </cell>
        </row>
        <row r="10">
          <cell r="C10">
            <v>100000</v>
          </cell>
          <cell r="D10">
            <v>100000</v>
          </cell>
        </row>
        <row r="11">
          <cell r="C11">
            <v>-50000</v>
          </cell>
        </row>
        <row r="12">
          <cell r="C12">
            <v>500000</v>
          </cell>
        </row>
        <row r="13">
          <cell r="C13">
            <v>0</v>
          </cell>
        </row>
        <row r="14">
          <cell r="C14" t="str">
            <v>NO</v>
          </cell>
        </row>
      </sheetData>
      <sheetData sheetId="10">
        <row r="8">
          <cell r="D8">
            <v>-1.795495199122906</v>
          </cell>
          <cell r="E8">
            <v>10</v>
          </cell>
          <cell r="F8">
            <v>15</v>
          </cell>
          <cell r="G8">
            <v>12.266794707366055</v>
          </cell>
          <cell r="J8">
            <v>0.99</v>
          </cell>
        </row>
        <row r="9">
          <cell r="J9">
            <v>1</v>
          </cell>
        </row>
        <row r="11">
          <cell r="J11">
            <v>0.1</v>
          </cell>
        </row>
      </sheetData>
      <sheetData sheetId="11">
        <row r="8">
          <cell r="C8">
            <v>10000</v>
          </cell>
        </row>
        <row r="9">
          <cell r="C9">
            <v>5748594</v>
          </cell>
        </row>
      </sheetData>
      <sheetData sheetId="12">
        <row r="7">
          <cell r="C7">
            <v>0.02</v>
          </cell>
        </row>
        <row r="8">
          <cell r="C8">
            <v>0.01</v>
          </cell>
        </row>
        <row r="9">
          <cell r="C9">
            <v>0.5</v>
          </cell>
        </row>
        <row r="13">
          <cell r="C13">
            <v>0.15351827510938598</v>
          </cell>
        </row>
        <row r="14">
          <cell r="C14">
            <v>0.07995558537067671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UsefulExcelFormulas"/>
      <sheetName val="BinomialVsNormal"/>
      <sheetName val="RandomVariables"/>
      <sheetName val="CoherentRiskMeasuresExample"/>
      <sheetName val="ExponentialDampingEstimate"/>
      <sheetName val="TwoAssetsEfficientFrontier"/>
      <sheetName val="OptionPricer"/>
      <sheetName val="HedgingSimulation"/>
    </sheetNames>
    <sheetDataSet>
      <sheetData sheetId="2">
        <row r="6">
          <cell r="C6">
            <v>0.1</v>
          </cell>
        </row>
        <row r="7">
          <cell r="C7">
            <v>100</v>
          </cell>
        </row>
      </sheetData>
      <sheetData sheetId="4">
        <row r="7">
          <cell r="I7">
            <v>5</v>
          </cell>
        </row>
        <row r="8">
          <cell r="I8">
            <v>10</v>
          </cell>
        </row>
        <row r="9">
          <cell r="I9">
            <v>0.025</v>
          </cell>
        </row>
      </sheetData>
      <sheetData sheetId="5">
        <row r="6">
          <cell r="C6">
            <v>0.97</v>
          </cell>
        </row>
      </sheetData>
      <sheetData sheetId="6">
        <row r="7">
          <cell r="C7">
            <v>0.05</v>
          </cell>
        </row>
        <row r="8">
          <cell r="C8">
            <v>0.1</v>
          </cell>
        </row>
      </sheetData>
      <sheetData sheetId="7">
        <row r="7">
          <cell r="C7">
            <v>125</v>
          </cell>
        </row>
        <row r="9">
          <cell r="C9">
            <v>0.05</v>
          </cell>
        </row>
        <row r="20">
          <cell r="C20">
            <v>50</v>
          </cell>
        </row>
        <row r="21">
          <cell r="C21">
            <v>20</v>
          </cell>
        </row>
      </sheetData>
      <sheetData sheetId="8">
        <row r="7">
          <cell r="G7">
            <v>0.1</v>
          </cell>
        </row>
        <row r="8">
          <cell r="G8">
            <v>0.25</v>
          </cell>
        </row>
        <row r="9">
          <cell r="G9">
            <v>0.004</v>
          </cell>
        </row>
        <row r="10">
          <cell r="C10">
            <v>0.25</v>
          </cell>
        </row>
        <row r="14">
          <cell r="C14">
            <v>0.125</v>
          </cell>
        </row>
        <row r="15">
          <cell r="C15">
            <v>-0.125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V functions"/>
      <sheetName val="YieldExample"/>
      <sheetName val="Bond Price with Excel"/>
      <sheetName val="TwoAssetsEfficientFrontier"/>
      <sheetName val="MeanVariance"/>
      <sheetName val="ValueAtRiskExample"/>
    </sheetNames>
    <sheetDataSet>
      <sheetData sheetId="1">
        <row r="2">
          <cell r="C2">
            <v>95</v>
          </cell>
        </row>
        <row r="3">
          <cell r="C3">
            <v>0.06</v>
          </cell>
        </row>
        <row r="4">
          <cell r="C4">
            <v>0.05</v>
          </cell>
        </row>
      </sheetData>
      <sheetData sheetId="2">
        <row r="12">
          <cell r="B12">
            <v>0.1</v>
          </cell>
        </row>
        <row r="13">
          <cell r="B13">
            <v>0.15</v>
          </cell>
        </row>
        <row r="14">
          <cell r="B14">
            <v>37453</v>
          </cell>
        </row>
        <row r="15">
          <cell r="B15">
            <v>1</v>
          </cell>
        </row>
        <row r="16">
          <cell r="B16">
            <v>41744</v>
          </cell>
        </row>
        <row r="18">
          <cell r="B18">
            <v>11.747945205479452</v>
          </cell>
        </row>
        <row r="19">
          <cell r="B19">
            <v>37726</v>
          </cell>
        </row>
        <row r="23">
          <cell r="B23">
            <v>72.99011296894129</v>
          </cell>
        </row>
        <row r="24">
          <cell r="B24">
            <v>2.5205479452054798</v>
          </cell>
        </row>
        <row r="25">
          <cell r="B25">
            <v>75.51066091414677</v>
          </cell>
        </row>
        <row r="27">
          <cell r="B27">
            <v>5.629983587350511</v>
          </cell>
        </row>
        <row r="58">
          <cell r="B58">
            <v>0.5</v>
          </cell>
        </row>
      </sheetData>
      <sheetData sheetId="4">
        <row r="3">
          <cell r="C3">
            <v>0.25</v>
          </cell>
          <cell r="D3">
            <v>0.05</v>
          </cell>
          <cell r="E3">
            <v>0.05</v>
          </cell>
          <cell r="L3">
            <v>1</v>
          </cell>
        </row>
        <row r="4">
          <cell r="C4">
            <v>0.25</v>
          </cell>
          <cell r="D4">
            <v>0.075</v>
          </cell>
          <cell r="E4">
            <v>0.08</v>
          </cell>
          <cell r="L4">
            <v>1</v>
          </cell>
        </row>
        <row r="5">
          <cell r="C5">
            <v>0.25</v>
          </cell>
          <cell r="D5">
            <v>0.1</v>
          </cell>
          <cell r="E5">
            <v>0.1</v>
          </cell>
          <cell r="L5">
            <v>1</v>
          </cell>
        </row>
        <row r="6">
          <cell r="C6">
            <v>0.25</v>
          </cell>
          <cell r="D6">
            <v>0.2</v>
          </cell>
          <cell r="E6">
            <v>0.3</v>
          </cell>
          <cell r="L6">
            <v>1</v>
          </cell>
        </row>
        <row r="11">
          <cell r="G11">
            <v>1066.6666666666706</v>
          </cell>
          <cell r="H11">
            <v>333.3333333333357</v>
          </cell>
          <cell r="I11">
            <v>-800.0000000000048</v>
          </cell>
          <cell r="J11">
            <v>-266.66666666666856</v>
          </cell>
        </row>
        <row r="12">
          <cell r="G12">
            <v>333.3333333333345</v>
          </cell>
          <cell r="H12">
            <v>416.66666666666737</v>
          </cell>
          <cell r="I12">
            <v>-500.00000000000153</v>
          </cell>
          <cell r="J12">
            <v>-166.66666666666708</v>
          </cell>
        </row>
        <row r="13">
          <cell r="G13">
            <v>-800.0000000000032</v>
          </cell>
          <cell r="H13">
            <v>-500.0000000000019</v>
          </cell>
          <cell r="I13">
            <v>1028.5714285714325</v>
          </cell>
          <cell r="J13">
            <v>323.8095238095251</v>
          </cell>
        </row>
        <row r="14">
          <cell r="G14">
            <v>-266.6666666666677</v>
          </cell>
          <cell r="H14">
            <v>-166.66666666666728</v>
          </cell>
          <cell r="I14">
            <v>323.8095238095251</v>
          </cell>
          <cell r="J14">
            <v>114.28571428571472</v>
          </cell>
        </row>
        <row r="17">
          <cell r="O17">
            <v>29.107142857142875</v>
          </cell>
        </row>
        <row r="18">
          <cell r="G18">
            <v>0.703517587939698</v>
          </cell>
          <cell r="J18">
            <v>0.1063</v>
          </cell>
          <cell r="K18">
            <v>0.26362532637075564</v>
          </cell>
          <cell r="O18">
            <v>9.48660714285717</v>
          </cell>
        </row>
        <row r="19">
          <cell r="G19">
            <v>0.17587939698492436</v>
          </cell>
          <cell r="K19">
            <v>-0.06036988685813757</v>
          </cell>
          <cell r="O19">
            <v>473.80952380952374</v>
          </cell>
        </row>
        <row r="20">
          <cell r="G20">
            <v>0.11055276381909603</v>
          </cell>
          <cell r="K20">
            <v>0.6170243690165365</v>
          </cell>
          <cell r="O20">
            <v>3647.6190476190595</v>
          </cell>
        </row>
        <row r="21">
          <cell r="G21">
            <v>0.010050251256281614</v>
          </cell>
          <cell r="K21">
            <v>0.1797201914708444</v>
          </cell>
        </row>
        <row r="23">
          <cell r="O23">
            <v>0.0017525179503916461</v>
          </cell>
        </row>
        <row r="32">
          <cell r="C32">
            <v>0.005421992737132618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lackScholesFormula"/>
      <sheetName val="Formulas"/>
      <sheetName val="MonteCarlo"/>
      <sheetName val="ControlVariate"/>
      <sheetName val="RandomNumbers"/>
    </sheetNames>
    <sheetDataSet>
      <sheetData sheetId="2">
        <row r="3">
          <cell r="C3">
            <v>100</v>
          </cell>
          <cell r="F3">
            <v>10</v>
          </cell>
        </row>
        <row r="4">
          <cell r="C4">
            <v>100</v>
          </cell>
          <cell r="F4">
            <v>1000</v>
          </cell>
        </row>
        <row r="5">
          <cell r="C5">
            <v>0.05</v>
          </cell>
          <cell r="F5">
            <v>0.1</v>
          </cell>
        </row>
        <row r="6">
          <cell r="C6">
            <v>1</v>
          </cell>
          <cell r="F6">
            <v>1.001876758911648</v>
          </cell>
        </row>
        <row r="7">
          <cell r="C7">
            <v>0.25</v>
          </cell>
          <cell r="F7">
            <v>0.07905694150420949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celFormulas"/>
      <sheetName val="VarCovarFormulas"/>
      <sheetName val="SimpleCovarianceWithWeights"/>
      <sheetName val="SimpleIntegration"/>
      <sheetName val="RandomVariablesandCorrelation"/>
    </sheetNames>
    <sheetDataSet>
      <sheetData sheetId="2">
        <row r="3">
          <cell r="J3">
            <v>0.5</v>
          </cell>
          <cell r="K3">
            <v>0.5</v>
          </cell>
        </row>
        <row r="6">
          <cell r="C6">
            <v>0.1</v>
          </cell>
        </row>
        <row r="7">
          <cell r="C7">
            <v>0.1</v>
          </cell>
        </row>
      </sheetData>
      <sheetData sheetId="3">
        <row r="2">
          <cell r="C2">
            <v>2</v>
          </cell>
        </row>
        <row r="3">
          <cell r="C3">
            <v>3</v>
          </cell>
        </row>
        <row r="4">
          <cell r="C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2" max="2" width="21.140625" style="0" bestFit="1" customWidth="1"/>
    <col min="3" max="3" width="13.8515625" style="0" bestFit="1" customWidth="1"/>
    <col min="4" max="4" width="8.140625" style="0" bestFit="1" customWidth="1"/>
    <col min="5" max="5" width="10.140625" style="0" customWidth="1"/>
    <col min="6" max="6" width="13.2812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15" t="s">
        <v>0</v>
      </c>
      <c r="C10" s="16"/>
      <c r="G10" s="17"/>
    </row>
    <row r="11" spans="2:10" ht="12.75">
      <c r="B11" s="3" t="s">
        <v>3</v>
      </c>
      <c r="C11" s="13">
        <v>0.4</v>
      </c>
      <c r="G11" s="17"/>
      <c r="H11" s="8"/>
      <c r="I11" s="8"/>
      <c r="J11" s="2"/>
    </row>
    <row r="12" spans="2:10" ht="13.5" thickBot="1">
      <c r="B12" s="18" t="s">
        <v>4</v>
      </c>
      <c r="C12" s="14">
        <v>0.05</v>
      </c>
      <c r="G12" s="17"/>
      <c r="H12" s="8"/>
      <c r="I12" s="8"/>
      <c r="J12" s="7"/>
    </row>
    <row r="13" ht="13.5" thickBot="1">
      <c r="L13" s="10"/>
    </row>
    <row r="14" spans="2:12" ht="13.5" thickBot="1">
      <c r="B14" s="19" t="s">
        <v>5</v>
      </c>
      <c r="C14" s="20"/>
      <c r="L14" s="10"/>
    </row>
    <row r="15" spans="2:12" ht="12.75">
      <c r="B15" s="3" t="s">
        <v>6</v>
      </c>
      <c r="C15" s="21">
        <v>500</v>
      </c>
      <c r="D15" s="2"/>
      <c r="L15" s="10"/>
    </row>
    <row r="16" spans="2:12" ht="12.75">
      <c r="B16" s="22" t="s">
        <v>2</v>
      </c>
      <c r="C16" s="80">
        <f>AVERAGE(E26:E150)</f>
        <v>0.004726028897613117</v>
      </c>
      <c r="L16" s="10"/>
    </row>
    <row r="17" spans="2:12" ht="13.5" thickBot="1">
      <c r="B17" s="18" t="s">
        <v>7</v>
      </c>
      <c r="C17" s="30">
        <f>EPE*SpreadCntrpty</f>
        <v>2.3630144488065583</v>
      </c>
      <c r="D17" s="2"/>
      <c r="G17" s="24"/>
      <c r="L17" s="10"/>
    </row>
    <row r="18" spans="5:12" ht="13.5" thickBot="1">
      <c r="E18" s="25"/>
      <c r="F18" s="26"/>
      <c r="G18" s="27"/>
      <c r="L18" s="10"/>
    </row>
    <row r="19" spans="2:12" ht="13.5" thickBot="1">
      <c r="B19" s="19" t="s">
        <v>8</v>
      </c>
      <c r="C19" s="20"/>
      <c r="L19" s="10"/>
    </row>
    <row r="20" spans="2:12" ht="12.75">
      <c r="B20" s="3" t="s">
        <v>9</v>
      </c>
      <c r="C20" s="81">
        <f>(1-CntrptyRec)*SUMPRODUCT(D26:D150,E26:E150,F26:F150)</f>
        <v>0.0008547156166514539</v>
      </c>
      <c r="E20" s="99"/>
      <c r="L20" s="10"/>
    </row>
    <row r="21" spans="2:12" ht="12.75">
      <c r="B21" s="22" t="s">
        <v>10</v>
      </c>
      <c r="C21" s="82">
        <f>(1-EXP(-(SpreadCntrpty/10000/(1-CntrptyRec)+IRate)*5))/(SpreadCntrpty/10000/(1-CntrptyRec)+IRate)</f>
        <v>3.649371607255559</v>
      </c>
      <c r="L21" s="10"/>
    </row>
    <row r="22" spans="2:12" ht="13.5" thickBot="1">
      <c r="B22" s="18" t="s">
        <v>7</v>
      </c>
      <c r="C22" s="30">
        <f>C20/C21*10000</f>
        <v>2.3420898407609045</v>
      </c>
      <c r="L22" s="10"/>
    </row>
    <row r="23" spans="12:15" ht="13.5" thickBot="1">
      <c r="L23" s="10"/>
      <c r="O23" t="s">
        <v>61</v>
      </c>
    </row>
    <row r="24" spans="2:17" ht="13.5" thickBot="1">
      <c r="B24" s="11"/>
      <c r="C24" s="12" t="s">
        <v>11</v>
      </c>
      <c r="D24" s="31" t="s">
        <v>33</v>
      </c>
      <c r="E24" s="12" t="s">
        <v>1</v>
      </c>
      <c r="F24" s="12" t="s">
        <v>12</v>
      </c>
      <c r="G24" s="16" t="s">
        <v>9</v>
      </c>
      <c r="L24" s="10"/>
      <c r="O24" t="s">
        <v>16</v>
      </c>
      <c r="P24" s="98"/>
      <c r="Q24" s="53">
        <f>IF(P24="",SpreadCntrpty/(1-CntrptyRec)/10000,P24)</f>
        <v>0.08333333333333334</v>
      </c>
    </row>
    <row r="25" spans="2:17" ht="12.75">
      <c r="B25" s="32">
        <v>0</v>
      </c>
      <c r="C25" s="33">
        <f>EXP(-B25*IntensityCntrpty)</f>
        <v>1</v>
      </c>
      <c r="D25" s="9"/>
      <c r="E25" s="34"/>
      <c r="F25" s="35"/>
      <c r="G25" s="36"/>
      <c r="L25" s="10"/>
      <c r="O25" t="s">
        <v>17</v>
      </c>
      <c r="P25" s="98"/>
      <c r="Q25" s="53">
        <f>IF(P25="",SpreadCntrpty/(1-CntrptyRec)/10000,P25)</f>
        <v>0.08333333333333334</v>
      </c>
    </row>
    <row r="26" spans="2:17" ht="12.75">
      <c r="B26" s="32">
        <f aca="true" t="shared" si="0" ref="B26:B57">B25+0.04</f>
        <v>0.04</v>
      </c>
      <c r="C26" s="37">
        <f aca="true" t="shared" si="1" ref="C26:C50">C25*EXP(-(B26-B25)*HazardRate1)</f>
        <v>0.9966722160545233</v>
      </c>
      <c r="D26" s="38">
        <f aca="true" t="shared" si="2" ref="D26:D57">C25-C26</f>
        <v>0.0033277839454767255</v>
      </c>
      <c r="E26" s="39">
        <v>0.0002205003733712291</v>
      </c>
      <c r="F26" s="41">
        <f aca="true" t="shared" si="3" ref="F26:F57">EXP(-IRate*B26)</f>
        <v>0.9980019986673331</v>
      </c>
      <c r="G26" s="42">
        <f aca="true" t="shared" si="4" ref="G26:G57">D26*E26*F26</f>
        <v>7.32311513848771E-07</v>
      </c>
      <c r="L26" s="10"/>
      <c r="O26" t="s">
        <v>18</v>
      </c>
      <c r="P26" s="98"/>
      <c r="Q26" s="53">
        <f>IF(P26="",SpreadCntrpty/(1-CntrptyRec)/10000,P26)</f>
        <v>0.08333333333333334</v>
      </c>
    </row>
    <row r="27" spans="2:17" ht="12.75">
      <c r="B27" s="32">
        <f t="shared" si="0"/>
        <v>0.08</v>
      </c>
      <c r="C27" s="37">
        <f t="shared" si="1"/>
        <v>0.9933555062550343</v>
      </c>
      <c r="D27" s="38">
        <f t="shared" si="2"/>
        <v>0.0033167097994889483</v>
      </c>
      <c r="E27" s="39">
        <v>0.00044236221264193907</v>
      </c>
      <c r="F27" s="41">
        <f t="shared" si="3"/>
        <v>0.9960079893439915</v>
      </c>
      <c r="G27" s="42">
        <f t="shared" si="4"/>
        <v>1.4613300591130873E-06</v>
      </c>
      <c r="L27" s="10"/>
      <c r="O27" t="s">
        <v>19</v>
      </c>
      <c r="P27" s="98"/>
      <c r="Q27" s="53">
        <f>IF(P27="",SpreadCntrpty/(1-CntrptyRec)/10000,P27)</f>
        <v>0.08333333333333334</v>
      </c>
    </row>
    <row r="28" spans="2:17" ht="12.75">
      <c r="B28" s="32">
        <f t="shared" si="0"/>
        <v>0.12</v>
      </c>
      <c r="C28" s="37">
        <f t="shared" si="1"/>
        <v>0.9900498337491679</v>
      </c>
      <c r="D28" s="38">
        <f t="shared" si="2"/>
        <v>0.0033056725058664416</v>
      </c>
      <c r="E28" s="39">
        <v>0.0006668485128685554</v>
      </c>
      <c r="F28" s="41">
        <f t="shared" si="3"/>
        <v>0.9940179640539353</v>
      </c>
      <c r="G28" s="42">
        <f t="shared" si="4"/>
        <v>2.191196097451518E-06</v>
      </c>
      <c r="L28" s="10"/>
      <c r="O28" t="s">
        <v>20</v>
      </c>
      <c r="P28" s="98"/>
      <c r="Q28" s="53">
        <f>IF(P28="",SpreadCntrpty/(1-CntrptyRec)/10000,P28)</f>
        <v>0.08333333333333334</v>
      </c>
    </row>
    <row r="29" spans="2:12" ht="12.75">
      <c r="B29" s="32">
        <f t="shared" si="0"/>
        <v>0.16</v>
      </c>
      <c r="C29" s="37">
        <f t="shared" si="1"/>
        <v>0.9867551618071955</v>
      </c>
      <c r="D29" s="38">
        <f t="shared" si="2"/>
        <v>0.0032946719419724158</v>
      </c>
      <c r="E29" s="39">
        <v>0.0008870972042832842</v>
      </c>
      <c r="F29" s="41">
        <f t="shared" si="3"/>
        <v>0.9920319148370607</v>
      </c>
      <c r="G29" s="42">
        <f t="shared" si="4"/>
        <v>2.8994059919156396E-06</v>
      </c>
      <c r="L29" s="10"/>
    </row>
    <row r="30" spans="2:12" ht="12.75">
      <c r="B30" s="32">
        <f t="shared" si="0"/>
        <v>0.2</v>
      </c>
      <c r="C30" s="37">
        <f t="shared" si="1"/>
        <v>0.9834714538216172</v>
      </c>
      <c r="D30" s="38">
        <f t="shared" si="2"/>
        <v>0.0032837079855783102</v>
      </c>
      <c r="E30" s="39">
        <v>0.0011088765306023994</v>
      </c>
      <c r="F30" s="41">
        <f t="shared" si="3"/>
        <v>0.9900498337491681</v>
      </c>
      <c r="G30" s="42">
        <f t="shared" si="4"/>
        <v>3.6049959073528327E-06</v>
      </c>
      <c r="L30" s="10"/>
    </row>
    <row r="31" spans="2:12" ht="12.75">
      <c r="B31" s="32">
        <f t="shared" si="0"/>
        <v>0.24000000000000002</v>
      </c>
      <c r="C31" s="37">
        <f t="shared" si="1"/>
        <v>0.9801986733067549</v>
      </c>
      <c r="D31" s="38">
        <f t="shared" si="2"/>
        <v>0.003272780514862239</v>
      </c>
      <c r="E31" s="39">
        <v>0.0013325901037198342</v>
      </c>
      <c r="F31" s="41">
        <f t="shared" si="3"/>
        <v>0.9880717128619305</v>
      </c>
      <c r="G31" s="42">
        <f t="shared" si="4"/>
        <v>4.309252386150084E-06</v>
      </c>
      <c r="L31" s="10"/>
    </row>
    <row r="32" spans="2:12" ht="12.75">
      <c r="B32" s="32">
        <f t="shared" si="0"/>
        <v>0.28</v>
      </c>
      <c r="C32" s="37">
        <f t="shared" si="1"/>
        <v>0.9769367838983471</v>
      </c>
      <c r="D32" s="38">
        <f t="shared" si="2"/>
        <v>0.00326188940840777</v>
      </c>
      <c r="E32" s="39">
        <v>0.00156177654983027</v>
      </c>
      <c r="F32" s="41">
        <f t="shared" si="3"/>
        <v>0.9860975442628619</v>
      </c>
      <c r="G32" s="42">
        <f t="shared" si="4"/>
        <v>5.02351851665714E-06</v>
      </c>
      <c r="L32" s="10"/>
    </row>
    <row r="33" spans="2:12" ht="12.75">
      <c r="B33" s="32">
        <f t="shared" si="0"/>
        <v>0.32</v>
      </c>
      <c r="C33" s="37">
        <f t="shared" si="1"/>
        <v>0.9736857493531446</v>
      </c>
      <c r="D33" s="38">
        <f t="shared" si="2"/>
        <v>0.0032510345452025913</v>
      </c>
      <c r="E33" s="39">
        <v>0.0017823213469090118</v>
      </c>
      <c r="F33" s="41">
        <f t="shared" si="3"/>
        <v>0.9841273200552851</v>
      </c>
      <c r="G33" s="42">
        <f t="shared" si="4"/>
        <v>5.702415798976768E-06</v>
      </c>
      <c r="L33" s="10"/>
    </row>
    <row r="34" spans="2:12" ht="12.75">
      <c r="B34" s="32">
        <f t="shared" si="0"/>
        <v>0.36</v>
      </c>
      <c r="C34" s="37">
        <f t="shared" si="1"/>
        <v>0.9704455335485077</v>
      </c>
      <c r="D34" s="38">
        <f t="shared" si="2"/>
        <v>0.003240215804636848</v>
      </c>
      <c r="E34" s="39">
        <v>0.0019920373661790145</v>
      </c>
      <c r="F34" s="41">
        <f t="shared" si="3"/>
        <v>0.9821610323583008</v>
      </c>
      <c r="G34" s="42">
        <f t="shared" si="4"/>
        <v>6.3394870045336535E-06</v>
      </c>
      <c r="L34" s="10"/>
    </row>
    <row r="35" spans="2:12" ht="12.75">
      <c r="B35" s="32">
        <f t="shared" si="0"/>
        <v>0.39999999999999997</v>
      </c>
      <c r="C35" s="37">
        <f t="shared" si="1"/>
        <v>0.9672161004820053</v>
      </c>
      <c r="D35" s="38">
        <f t="shared" si="2"/>
        <v>0.003229433066502363</v>
      </c>
      <c r="E35" s="39">
        <v>0.002186875972940025</v>
      </c>
      <c r="F35" s="41">
        <f t="shared" si="3"/>
        <v>0.9801986733067553</v>
      </c>
      <c r="G35" s="42">
        <f t="shared" si="4"/>
        <v>6.92252529208286E-06</v>
      </c>
      <c r="L35" s="10"/>
    </row>
    <row r="36" spans="2:12" ht="12.75">
      <c r="B36" s="32">
        <f t="shared" si="0"/>
        <v>0.43999999999999995</v>
      </c>
      <c r="C36" s="37">
        <f t="shared" si="1"/>
        <v>0.9639974142710147</v>
      </c>
      <c r="D36" s="38">
        <f t="shared" si="2"/>
        <v>0.00321868621099064</v>
      </c>
      <c r="E36" s="39">
        <v>0.0023756480140929067</v>
      </c>
      <c r="F36" s="41">
        <f t="shared" si="3"/>
        <v>0.97824023505121</v>
      </c>
      <c r="G36" s="42">
        <f t="shared" si="4"/>
        <v>7.480080213047518E-06</v>
      </c>
      <c r="L36" s="10"/>
    </row>
    <row r="37" spans="2:12" ht="12.75">
      <c r="B37" s="32">
        <f t="shared" si="0"/>
        <v>0.4799999999999999</v>
      </c>
      <c r="C37" s="37">
        <f t="shared" si="1"/>
        <v>0.9607894391523225</v>
      </c>
      <c r="D37" s="38">
        <f t="shared" si="2"/>
        <v>0.0032079751186921968</v>
      </c>
      <c r="E37" s="39">
        <v>0.0025769274175048824</v>
      </c>
      <c r="F37" s="41">
        <f t="shared" si="3"/>
        <v>0.9762857097579093</v>
      </c>
      <c r="G37" s="42">
        <f t="shared" si="4"/>
        <v>8.070679663413709E-06</v>
      </c>
      <c r="L37" s="10"/>
    </row>
    <row r="38" spans="2:12" ht="12.75">
      <c r="B38" s="32">
        <f t="shared" si="0"/>
        <v>0.5199999999999999</v>
      </c>
      <c r="C38" s="37">
        <f t="shared" si="1"/>
        <v>0.9575921394817278</v>
      </c>
      <c r="D38" s="38">
        <f t="shared" si="2"/>
        <v>0.0031972996705946777</v>
      </c>
      <c r="E38" s="39">
        <v>0.002762963077485577</v>
      </c>
      <c r="F38" s="41">
        <f t="shared" si="3"/>
        <v>0.9743350896087494</v>
      </c>
      <c r="G38" s="42">
        <f t="shared" si="4"/>
        <v>8.60729658175427E-06</v>
      </c>
      <c r="L38" s="10"/>
    </row>
    <row r="39" spans="2:12" ht="12.75">
      <c r="B39" s="32">
        <f t="shared" si="0"/>
        <v>0.5599999999999999</v>
      </c>
      <c r="C39" s="37">
        <f t="shared" si="1"/>
        <v>0.9544054797336459</v>
      </c>
      <c r="D39" s="38">
        <f t="shared" si="2"/>
        <v>0.003186659748081966</v>
      </c>
      <c r="E39" s="39">
        <v>0.0029414195890670614</v>
      </c>
      <c r="F39" s="41">
        <f t="shared" si="3"/>
        <v>0.9723883668012469</v>
      </c>
      <c r="G39" s="42">
        <f t="shared" si="4"/>
        <v>9.114491191173384E-06</v>
      </c>
      <c r="L39" s="10"/>
    </row>
    <row r="40" spans="2:12" ht="12.75">
      <c r="B40" s="32">
        <f t="shared" si="0"/>
        <v>0.6</v>
      </c>
      <c r="C40" s="37">
        <f t="shared" si="1"/>
        <v>0.9512294245007132</v>
      </c>
      <c r="D40" s="38">
        <f t="shared" si="2"/>
        <v>0.0031760552329326286</v>
      </c>
      <c r="E40" s="39">
        <v>0.0031057438662650243</v>
      </c>
      <c r="F40" s="41">
        <f t="shared" si="3"/>
        <v>0.9704455335485082</v>
      </c>
      <c r="G40" s="42">
        <f t="shared" si="4"/>
        <v>9.572488386027523E-06</v>
      </c>
      <c r="L40" s="10"/>
    </row>
    <row r="41" spans="2:12" ht="12.75">
      <c r="B41" s="32">
        <f t="shared" si="0"/>
        <v>0.64</v>
      </c>
      <c r="C41" s="37">
        <f t="shared" si="1"/>
        <v>0.9480639384933947</v>
      </c>
      <c r="D41" s="38">
        <f t="shared" si="2"/>
        <v>0.0031654860073185853</v>
      </c>
      <c r="E41" s="39">
        <v>0.003268674127260905</v>
      </c>
      <c r="F41" s="41">
        <f t="shared" si="3"/>
        <v>0.9685065820791976</v>
      </c>
      <c r="G41" s="42">
        <f t="shared" si="4"/>
        <v>1.0021081637033425E-05</v>
      </c>
      <c r="L41" s="10"/>
    </row>
    <row r="42" spans="2:12" ht="12.75">
      <c r="B42" s="32">
        <f t="shared" si="0"/>
        <v>0.68</v>
      </c>
      <c r="C42" s="37">
        <f t="shared" si="1"/>
        <v>0.9449089865395909</v>
      </c>
      <c r="D42" s="38">
        <f t="shared" si="2"/>
        <v>0.003154951953803775</v>
      </c>
      <c r="E42" s="39">
        <v>0.0034230178656917054</v>
      </c>
      <c r="F42" s="41">
        <f t="shared" si="3"/>
        <v>0.9665715046375066</v>
      </c>
      <c r="G42" s="42">
        <f t="shared" si="4"/>
        <v>1.043844730826089E-05</v>
      </c>
      <c r="L42" s="10"/>
    </row>
    <row r="43" spans="2:12" ht="12.75">
      <c r="B43" s="32">
        <f t="shared" si="0"/>
        <v>0.7200000000000001</v>
      </c>
      <c r="C43" s="37">
        <f t="shared" si="1"/>
        <v>0.9417645335842477</v>
      </c>
      <c r="D43" s="38">
        <f t="shared" si="2"/>
        <v>0.0031444529553431577</v>
      </c>
      <c r="E43" s="39">
        <v>0.003575898149007763</v>
      </c>
      <c r="F43" s="41">
        <f t="shared" si="3"/>
        <v>0.9646402934831231</v>
      </c>
      <c r="G43" s="42">
        <f t="shared" si="4"/>
        <v>1.0846650352395456E-05</v>
      </c>
      <c r="L43" s="10"/>
    </row>
    <row r="44" spans="2:12" ht="12.75">
      <c r="B44" s="32">
        <f t="shared" si="0"/>
        <v>0.7600000000000001</v>
      </c>
      <c r="C44" s="37">
        <f t="shared" si="1"/>
        <v>0.9386305446889667</v>
      </c>
      <c r="D44" s="38">
        <f t="shared" si="2"/>
        <v>0.003133988895281048</v>
      </c>
      <c r="E44" s="39">
        <v>0.003731045365790775</v>
      </c>
      <c r="F44" s="41">
        <f t="shared" si="3"/>
        <v>0.9627129408911995</v>
      </c>
      <c r="G44" s="42">
        <f t="shared" si="4"/>
        <v>1.1257055120769496E-05</v>
      </c>
      <c r="L44" s="10"/>
    </row>
    <row r="45" spans="2:12" ht="12.75">
      <c r="B45" s="32">
        <f t="shared" si="0"/>
        <v>0.8000000000000002</v>
      </c>
      <c r="C45" s="37">
        <f t="shared" si="1"/>
        <v>0.9355069850316167</v>
      </c>
      <c r="D45" s="38">
        <f t="shared" si="2"/>
        <v>0.0031235596573500057</v>
      </c>
      <c r="E45" s="39">
        <v>0.0038837973091841275</v>
      </c>
      <c r="F45" s="41">
        <f t="shared" si="3"/>
        <v>0.9607894391523232</v>
      </c>
      <c r="G45" s="42">
        <f t="shared" si="4"/>
        <v>1.1655598590152225E-05</v>
      </c>
      <c r="L45" s="10"/>
    </row>
    <row r="46" spans="2:12" ht="12.75">
      <c r="B46" s="32">
        <f t="shared" si="0"/>
        <v>0.8400000000000002</v>
      </c>
      <c r="C46" s="37">
        <f t="shared" si="1"/>
        <v>0.9323938199059472</v>
      </c>
      <c r="D46" s="38">
        <f t="shared" si="2"/>
        <v>0.0031131651256695037</v>
      </c>
      <c r="E46" s="39">
        <v>0.004026368500833558</v>
      </c>
      <c r="F46" s="41">
        <f t="shared" si="3"/>
        <v>0.9588697805724845</v>
      </c>
      <c r="G46" s="42">
        <f t="shared" si="4"/>
        <v>1.201919298192474E-05</v>
      </c>
      <c r="L46" s="10"/>
    </row>
    <row r="47" spans="2:12" ht="12.75">
      <c r="B47" s="32">
        <f t="shared" si="0"/>
        <v>0.8800000000000002</v>
      </c>
      <c r="C47" s="37">
        <f t="shared" si="1"/>
        <v>0.9292910147212025</v>
      </c>
      <c r="D47" s="38">
        <f t="shared" si="2"/>
        <v>0.003102805184744706</v>
      </c>
      <c r="E47" s="39">
        <v>0.004172228427990239</v>
      </c>
      <c r="F47" s="41">
        <f t="shared" si="3"/>
        <v>0.9569539574730467</v>
      </c>
      <c r="G47" s="42">
        <f t="shared" si="4"/>
        <v>1.2388354633690792E-05</v>
      </c>
      <c r="L47" s="10"/>
    </row>
    <row r="48" spans="2:12" ht="12.75">
      <c r="B48" s="32">
        <f t="shared" si="0"/>
        <v>0.9200000000000003</v>
      </c>
      <c r="C48" s="37">
        <f t="shared" si="1"/>
        <v>0.9261985350017374</v>
      </c>
      <c r="D48" s="38">
        <f t="shared" si="2"/>
        <v>0.0030924797194650244</v>
      </c>
      <c r="E48" s="39">
        <v>0.004305403087986719</v>
      </c>
      <c r="F48" s="41">
        <f t="shared" si="3"/>
        <v>0.9550419621907146</v>
      </c>
      <c r="G48" s="42">
        <f t="shared" si="4"/>
        <v>1.2715783705909508E-05</v>
      </c>
      <c r="L48" s="10"/>
    </row>
    <row r="49" spans="2:12" ht="12.75">
      <c r="B49" s="32">
        <f t="shared" si="0"/>
        <v>0.9600000000000003</v>
      </c>
      <c r="C49" s="37">
        <f t="shared" si="1"/>
        <v>0.9231163463866345</v>
      </c>
      <c r="D49" s="38">
        <f t="shared" si="2"/>
        <v>0.0030821886151028988</v>
      </c>
      <c r="E49" s="39">
        <v>0.004428328912928753</v>
      </c>
      <c r="F49" s="41">
        <f t="shared" si="3"/>
        <v>0.9531337870775047</v>
      </c>
      <c r="G49" s="42">
        <f t="shared" si="4"/>
        <v>1.3009270598727215E-05</v>
      </c>
      <c r="L49" s="10"/>
    </row>
    <row r="50" spans="2:12" ht="12.75">
      <c r="B50" s="32">
        <f t="shared" si="0"/>
        <v>1.0000000000000002</v>
      </c>
      <c r="C50" s="37">
        <f t="shared" si="1"/>
        <v>0.920044414629322</v>
      </c>
      <c r="D50" s="38">
        <f t="shared" si="2"/>
        <v>0.0030719317573125737</v>
      </c>
      <c r="E50" s="39">
        <v>0.004547964690247746</v>
      </c>
      <c r="F50" s="41">
        <f t="shared" si="3"/>
        <v>0.951229424500714</v>
      </c>
      <c r="G50" s="42">
        <f t="shared" si="4"/>
        <v>1.328966164034159E-05</v>
      </c>
      <c r="L50" s="10"/>
    </row>
    <row r="51" spans="2:12" ht="12.75">
      <c r="B51" s="32">
        <f t="shared" si="0"/>
        <v>1.0400000000000003</v>
      </c>
      <c r="C51" s="37">
        <f aca="true" t="shared" si="5" ref="C51:C75">C50*EXP(-(B51-B50)*HazardRate2)</f>
        <v>0.916982705597193</v>
      </c>
      <c r="D51" s="38">
        <f t="shared" si="2"/>
        <v>0.0030617090321289897</v>
      </c>
      <c r="E51" s="39">
        <v>0.004661285163844965</v>
      </c>
      <c r="F51" s="41">
        <f t="shared" si="3"/>
        <v>0.9493288668428895</v>
      </c>
      <c r="G51" s="42">
        <f t="shared" si="4"/>
        <v>1.3548345866994288E-05</v>
      </c>
      <c r="L51" s="10"/>
    </row>
    <row r="52" spans="2:12" ht="12.75">
      <c r="B52" s="32">
        <f t="shared" si="0"/>
        <v>1.0800000000000003</v>
      </c>
      <c r="C52" s="37">
        <f t="shared" si="5"/>
        <v>0.9139311852712269</v>
      </c>
      <c r="D52" s="38">
        <f t="shared" si="2"/>
        <v>0.0030515203259661172</v>
      </c>
      <c r="E52" s="39">
        <v>0.004772111832942983</v>
      </c>
      <c r="F52" s="41">
        <f t="shared" si="3"/>
        <v>0.9474321065017983</v>
      </c>
      <c r="G52" s="42">
        <f t="shared" si="4"/>
        <v>1.3796692274123146E-05</v>
      </c>
      <c r="L52" s="10"/>
    </row>
    <row r="53" spans="2:12" ht="12.75">
      <c r="B53" s="32">
        <f t="shared" si="0"/>
        <v>1.1200000000000003</v>
      </c>
      <c r="C53" s="37">
        <f t="shared" si="5"/>
        <v>0.9108898197456108</v>
      </c>
      <c r="D53" s="38">
        <f t="shared" si="2"/>
        <v>0.0030413655256160688</v>
      </c>
      <c r="E53" s="39">
        <v>0.004875499850139253</v>
      </c>
      <c r="F53" s="41">
        <f t="shared" si="3"/>
        <v>0.9455391358903963</v>
      </c>
      <c r="G53" s="42">
        <f t="shared" si="4"/>
        <v>1.4020621822818505E-05</v>
      </c>
      <c r="L53" s="10"/>
    </row>
    <row r="54" spans="2:12" ht="12.75">
      <c r="B54" s="32">
        <f t="shared" si="0"/>
        <v>1.1600000000000004</v>
      </c>
      <c r="C54" s="37">
        <f t="shared" si="5"/>
        <v>0.9078585752273631</v>
      </c>
      <c r="D54" s="38">
        <f t="shared" si="2"/>
        <v>0.0030312445182476555</v>
      </c>
      <c r="E54" s="39">
        <v>0.004985450228441994</v>
      </c>
      <c r="F54" s="41">
        <f t="shared" si="3"/>
        <v>0.9436499474367985</v>
      </c>
      <c r="G54" s="42">
        <f t="shared" si="4"/>
        <v>1.426054999422956E-05</v>
      </c>
      <c r="L54" s="10"/>
    </row>
    <row r="55" spans="2:12" ht="12.75">
      <c r="B55" s="32">
        <f t="shared" si="0"/>
        <v>1.2000000000000004</v>
      </c>
      <c r="C55" s="37">
        <f t="shared" si="5"/>
        <v>0.9048374180359582</v>
      </c>
      <c r="D55" s="38">
        <f t="shared" si="2"/>
        <v>0.003021157191404944</v>
      </c>
      <c r="E55" s="39">
        <v>0.0051021919126233205</v>
      </c>
      <c r="F55" s="41">
        <f t="shared" si="3"/>
        <v>0.9417645335842487</v>
      </c>
      <c r="G55" s="42">
        <f t="shared" si="4"/>
        <v>1.4516851806335534E-05</v>
      </c>
      <c r="L55" s="10"/>
    </row>
    <row r="56" spans="2:12" ht="12.75">
      <c r="B56" s="32">
        <f t="shared" si="0"/>
        <v>1.2400000000000004</v>
      </c>
      <c r="C56" s="37">
        <f t="shared" si="5"/>
        <v>0.9018263146029515</v>
      </c>
      <c r="D56" s="38">
        <f t="shared" si="2"/>
        <v>0.003011103433006701</v>
      </c>
      <c r="E56" s="39">
        <v>0.005202445219772759</v>
      </c>
      <c r="F56" s="41">
        <f t="shared" si="3"/>
        <v>0.9398828867910889</v>
      </c>
      <c r="G56" s="42">
        <f t="shared" si="4"/>
        <v>1.4723360031403473E-05</v>
      </c>
      <c r="L56" s="10"/>
    </row>
    <row r="57" spans="2:12" ht="12.75">
      <c r="B57" s="32">
        <f t="shared" si="0"/>
        <v>1.2800000000000005</v>
      </c>
      <c r="C57" s="37">
        <f t="shared" si="5"/>
        <v>0.8988252314716073</v>
      </c>
      <c r="D57" s="38">
        <f t="shared" si="2"/>
        <v>0.0030010831313441733</v>
      </c>
      <c r="E57" s="39">
        <v>0.0052981865455731195</v>
      </c>
      <c r="F57" s="41">
        <f t="shared" si="3"/>
        <v>0.9380049995307295</v>
      </c>
      <c r="G57" s="42">
        <f t="shared" si="4"/>
        <v>1.491455927000863E-05</v>
      </c>
      <c r="L57" s="10"/>
    </row>
    <row r="58" spans="2:12" ht="12.75">
      <c r="B58" s="32">
        <f aca="true" t="shared" si="6" ref="B58:B89">B57+0.04</f>
        <v>1.3200000000000005</v>
      </c>
      <c r="C58" s="37">
        <f t="shared" si="5"/>
        <v>0.8958341352965267</v>
      </c>
      <c r="D58" s="38">
        <f aca="true" t="shared" si="7" ref="D58:D89">C57-C58</f>
        <v>0.002991096175080643</v>
      </c>
      <c r="E58" s="39">
        <v>0.00538705067928286</v>
      </c>
      <c r="F58" s="41">
        <f aca="true" t="shared" si="8" ref="F58:F89">EXP(-IRate*B58)</f>
        <v>0.9361308642916188</v>
      </c>
      <c r="G58" s="42">
        <f aca="true" t="shared" si="9" ref="G58:G89">D58*E58*F58</f>
        <v>1.5084051374896189E-05</v>
      </c>
      <c r="L58" s="10"/>
    </row>
    <row r="59" spans="2:12" ht="12.75">
      <c r="B59" s="32">
        <f t="shared" si="6"/>
        <v>1.3600000000000005</v>
      </c>
      <c r="C59" s="37">
        <f t="shared" si="5"/>
        <v>0.8928529928432769</v>
      </c>
      <c r="D59" s="38">
        <f t="shared" si="7"/>
        <v>0.0029811424532497632</v>
      </c>
      <c r="E59" s="39">
        <v>0.00546938028464521</v>
      </c>
      <c r="F59" s="41">
        <f t="shared" si="8"/>
        <v>0.9342604735772135</v>
      </c>
      <c r="G59" s="42">
        <f t="shared" si="9"/>
        <v>1.5233118665529361E-05</v>
      </c>
      <c r="L59" s="10"/>
    </row>
    <row r="60" spans="2:12" ht="12.75">
      <c r="B60" s="32">
        <f t="shared" si="6"/>
        <v>1.4000000000000006</v>
      </c>
      <c r="C60" s="37">
        <f t="shared" si="5"/>
        <v>0.8898817709880222</v>
      </c>
      <c r="D60" s="38">
        <f t="shared" si="7"/>
        <v>0.0029712218552546688</v>
      </c>
      <c r="E60" s="39">
        <v>0.005549149074641156</v>
      </c>
      <c r="F60" s="41">
        <f t="shared" si="8"/>
        <v>0.9323938199059482</v>
      </c>
      <c r="G60" s="42">
        <f t="shared" si="9"/>
        <v>1.537307900939166E-05</v>
      </c>
      <c r="L60" s="10"/>
    </row>
    <row r="61" spans="2:12" ht="12.75">
      <c r="B61" s="32">
        <f t="shared" si="6"/>
        <v>1.4400000000000006</v>
      </c>
      <c r="C61" s="37">
        <f t="shared" si="5"/>
        <v>0.8869204367171559</v>
      </c>
      <c r="D61" s="38">
        <f t="shared" si="7"/>
        <v>0.0029613342708663115</v>
      </c>
      <c r="E61" s="39">
        <v>0.005610400449397861</v>
      </c>
      <c r="F61" s="41">
        <f t="shared" si="8"/>
        <v>0.9305308958112057</v>
      </c>
      <c r="G61" s="42">
        <f t="shared" si="9"/>
        <v>1.5460092592345657E-05</v>
      </c>
      <c r="L61" s="10"/>
    </row>
    <row r="62" spans="2:12" ht="12.75">
      <c r="B62" s="32">
        <f t="shared" si="6"/>
        <v>1.4800000000000006</v>
      </c>
      <c r="C62" s="37">
        <f t="shared" si="5"/>
        <v>0.8839689571269334</v>
      </c>
      <c r="D62" s="38">
        <f t="shared" si="7"/>
        <v>0.002951479590222572</v>
      </c>
      <c r="E62" s="39">
        <v>0.005666195549352462</v>
      </c>
      <c r="F62" s="41">
        <f t="shared" si="8"/>
        <v>0.9286716938412871</v>
      </c>
      <c r="G62" s="42">
        <f t="shared" si="9"/>
        <v>1.5530790140592656E-05</v>
      </c>
      <c r="L62" s="10"/>
    </row>
    <row r="63" spans="2:7" ht="12.75">
      <c r="B63" s="32">
        <f t="shared" si="6"/>
        <v>1.5200000000000007</v>
      </c>
      <c r="C63" s="37">
        <f t="shared" si="5"/>
        <v>0.8810272994231065</v>
      </c>
      <c r="D63" s="38">
        <f t="shared" si="7"/>
        <v>0.0029416577038268166</v>
      </c>
      <c r="E63" s="39">
        <v>0.005723982007294547</v>
      </c>
      <c r="F63" s="41">
        <f t="shared" si="8"/>
        <v>0.9268162065593822</v>
      </c>
      <c r="G63" s="42">
        <f t="shared" si="9"/>
        <v>1.5605727364061062E-05</v>
      </c>
    </row>
    <row r="64" spans="2:7" ht="12.75">
      <c r="B64" s="32">
        <f t="shared" si="6"/>
        <v>1.5600000000000007</v>
      </c>
      <c r="C64" s="37">
        <f t="shared" si="5"/>
        <v>0.8780954309205596</v>
      </c>
      <c r="D64" s="38">
        <f t="shared" si="7"/>
        <v>0.002931868502546897</v>
      </c>
      <c r="E64" s="39">
        <v>0.005791825752219231</v>
      </c>
      <c r="F64" s="41">
        <f t="shared" si="8"/>
        <v>0.9249644265435393</v>
      </c>
      <c r="G64" s="42">
        <f t="shared" si="9"/>
        <v>1.570670206474089E-05</v>
      </c>
    </row>
    <row r="65" spans="2:7" ht="12.75">
      <c r="B65" s="32">
        <f t="shared" si="6"/>
        <v>1.6000000000000008</v>
      </c>
      <c r="C65" s="37">
        <f t="shared" si="5"/>
        <v>0.8751733190429457</v>
      </c>
      <c r="D65" s="38">
        <f t="shared" si="7"/>
        <v>0.002922111877613931</v>
      </c>
      <c r="E65" s="39">
        <v>0.005851550756231796</v>
      </c>
      <c r="F65" s="41">
        <f t="shared" si="8"/>
        <v>0.9231163463866358</v>
      </c>
      <c r="G65" s="42">
        <f t="shared" si="9"/>
        <v>1.5784261141365575E-05</v>
      </c>
    </row>
    <row r="66" spans="2:7" ht="12.75">
      <c r="B66" s="32">
        <f t="shared" si="6"/>
        <v>1.6400000000000008</v>
      </c>
      <c r="C66" s="37">
        <f t="shared" si="5"/>
        <v>0.872260931322325</v>
      </c>
      <c r="D66" s="38">
        <f t="shared" si="7"/>
        <v>0.002912387720620746</v>
      </c>
      <c r="E66" s="39">
        <v>0.005905099626703936</v>
      </c>
      <c r="F66" s="41">
        <f t="shared" si="8"/>
        <v>0.9212719586963486</v>
      </c>
      <c r="G66" s="42">
        <f t="shared" si="9"/>
        <v>1.5843979539393053E-05</v>
      </c>
    </row>
    <row r="67" spans="2:7" ht="12.75">
      <c r="B67" s="32">
        <f t="shared" si="6"/>
        <v>1.6800000000000008</v>
      </c>
      <c r="C67" s="37">
        <f t="shared" si="5"/>
        <v>0.869358235398804</v>
      </c>
      <c r="D67" s="38">
        <f t="shared" si="7"/>
        <v>0.0029026959235209926</v>
      </c>
      <c r="E67" s="39">
        <v>0.005963814371706496</v>
      </c>
      <c r="F67" s="41">
        <f t="shared" si="8"/>
        <v>0.9194312560951247</v>
      </c>
      <c r="G67" s="42">
        <f t="shared" si="9"/>
        <v>1.591640288698615E-05</v>
      </c>
    </row>
    <row r="68" spans="2:7" ht="12.75">
      <c r="B68" s="32">
        <f t="shared" si="6"/>
        <v>1.7200000000000009</v>
      </c>
      <c r="C68" s="37">
        <f t="shared" si="5"/>
        <v>0.8664651990201758</v>
      </c>
      <c r="D68" s="38">
        <f t="shared" si="7"/>
        <v>0.0028930363786281443</v>
      </c>
      <c r="E68" s="39">
        <v>0.006007816548592949</v>
      </c>
      <c r="F68" s="41">
        <f t="shared" si="8"/>
        <v>0.9175942312201509</v>
      </c>
      <c r="G68" s="42">
        <f t="shared" si="9"/>
        <v>1.594855102211998E-05</v>
      </c>
    </row>
    <row r="69" spans="2:7" ht="12.75">
      <c r="B69" s="32">
        <f t="shared" si="6"/>
        <v>1.760000000000001</v>
      </c>
      <c r="C69" s="37">
        <f t="shared" si="5"/>
        <v>0.8635817900415622</v>
      </c>
      <c r="D69" s="38">
        <f t="shared" si="7"/>
        <v>0.002883408978613611</v>
      </c>
      <c r="E69" s="39">
        <v>0.006055151261696325</v>
      </c>
      <c r="F69" s="41">
        <f t="shared" si="8"/>
        <v>0.9157608767233256</v>
      </c>
      <c r="G69" s="42">
        <f t="shared" si="9"/>
        <v>1.5988706436119895E-05</v>
      </c>
    </row>
    <row r="70" spans="2:7" ht="12.75">
      <c r="B70" s="32">
        <f t="shared" si="6"/>
        <v>1.800000000000001</v>
      </c>
      <c r="C70" s="37">
        <f t="shared" si="5"/>
        <v>0.8607079764250558</v>
      </c>
      <c r="D70" s="38">
        <f t="shared" si="7"/>
        <v>0.0028738136165064043</v>
      </c>
      <c r="E70" s="39">
        <v>0.006102305070468268</v>
      </c>
      <c r="F70" s="41">
        <f t="shared" si="8"/>
        <v>0.9139311852712282</v>
      </c>
      <c r="G70" s="42">
        <f t="shared" si="9"/>
        <v>1.6027508290729054E-05</v>
      </c>
    </row>
    <row r="71" spans="2:7" ht="12.75">
      <c r="B71" s="32">
        <f t="shared" si="6"/>
        <v>1.840000000000001</v>
      </c>
      <c r="C71" s="37">
        <f t="shared" si="5"/>
        <v>0.8578437262393648</v>
      </c>
      <c r="D71" s="38">
        <f t="shared" si="7"/>
        <v>0.0028642501856910307</v>
      </c>
      <c r="E71" s="39">
        <v>0.006152813931495424</v>
      </c>
      <c r="F71" s="41">
        <f t="shared" si="8"/>
        <v>0.9121051495450904</v>
      </c>
      <c r="G71" s="42">
        <f t="shared" si="9"/>
        <v>1.607421005387663E-05</v>
      </c>
    </row>
    <row r="72" spans="2:7" ht="12.75">
      <c r="B72" s="32">
        <f t="shared" si="6"/>
        <v>1.880000000000001</v>
      </c>
      <c r="C72" s="37">
        <f t="shared" si="5"/>
        <v>0.8549890076594575</v>
      </c>
      <c r="D72" s="38">
        <f t="shared" si="7"/>
        <v>0.002854718579907267</v>
      </c>
      <c r="E72" s="39">
        <v>0.0061923704593485045</v>
      </c>
      <c r="F72" s="41">
        <f t="shared" si="8"/>
        <v>0.9102827622407669</v>
      </c>
      <c r="G72" s="42">
        <f t="shared" si="9"/>
        <v>1.60915007760569E-05</v>
      </c>
    </row>
    <row r="73" spans="2:7" ht="12.75">
      <c r="B73" s="32">
        <f t="shared" si="6"/>
        <v>1.920000000000001</v>
      </c>
      <c r="C73" s="37">
        <f t="shared" si="5"/>
        <v>0.8521437889662092</v>
      </c>
      <c r="D73" s="38">
        <f t="shared" si="7"/>
        <v>0.002845218693248275</v>
      </c>
      <c r="E73" s="39">
        <v>0.006226427579647134</v>
      </c>
      <c r="F73" s="41">
        <f t="shared" si="8"/>
        <v>0.9084640160687061</v>
      </c>
      <c r="G73" s="42">
        <f t="shared" si="9"/>
        <v>1.609393801172964E-05</v>
      </c>
    </row>
    <row r="74" spans="2:7" ht="12.75">
      <c r="B74" s="32">
        <f t="shared" si="6"/>
        <v>1.960000000000001</v>
      </c>
      <c r="C74" s="37">
        <f t="shared" si="5"/>
        <v>0.8493080385460497</v>
      </c>
      <c r="D74" s="38">
        <f t="shared" si="7"/>
        <v>0.0028357504201594885</v>
      </c>
      <c r="E74" s="39">
        <v>0.00625853519117007</v>
      </c>
      <c r="F74" s="41">
        <f t="shared" si="8"/>
        <v>0.9066489037539208</v>
      </c>
      <c r="G74" s="42">
        <f t="shared" si="9"/>
        <v>1.609088179362052E-05</v>
      </c>
    </row>
    <row r="75" spans="2:7" ht="12.75">
      <c r="B75" s="32">
        <f t="shared" si="6"/>
        <v>2.000000000000001</v>
      </c>
      <c r="C75" s="37">
        <f t="shared" si="5"/>
        <v>0.846481724890612</v>
      </c>
      <c r="D75" s="38">
        <f t="shared" si="7"/>
        <v>0.002826313655437729</v>
      </c>
      <c r="E75" s="39">
        <v>0.006305369150353792</v>
      </c>
      <c r="F75" s="41">
        <f t="shared" si="8"/>
        <v>0.9048374180359595</v>
      </c>
      <c r="G75" s="42">
        <f t="shared" si="9"/>
        <v>1.6125063228456114E-05</v>
      </c>
    </row>
    <row r="76" spans="2:7" ht="12.75">
      <c r="B76" s="32">
        <f t="shared" si="6"/>
        <v>2.040000000000001</v>
      </c>
      <c r="C76" s="37">
        <f aca="true" t="shared" si="10" ref="C76:C100">C75*EXP(-(B76-B75)*HazardRate3)</f>
        <v>0.8436648165963816</v>
      </c>
      <c r="D76" s="38">
        <f t="shared" si="7"/>
        <v>0.0028169082942304247</v>
      </c>
      <c r="E76" s="39">
        <v>0.006358936109924215</v>
      </c>
      <c r="F76" s="41">
        <f t="shared" si="8"/>
        <v>0.9030295516688768</v>
      </c>
      <c r="G76" s="42">
        <f t="shared" si="9"/>
        <v>1.617555284853276E-05</v>
      </c>
    </row>
    <row r="77" spans="2:7" ht="12.75">
      <c r="B77" s="32">
        <f t="shared" si="6"/>
        <v>2.080000000000001</v>
      </c>
      <c r="C77" s="37">
        <f t="shared" si="10"/>
        <v>0.8408572823643485</v>
      </c>
      <c r="D77" s="38">
        <f t="shared" si="7"/>
        <v>0.00280753423203306</v>
      </c>
      <c r="E77" s="39">
        <v>0.006403824269505993</v>
      </c>
      <c r="F77" s="41">
        <f t="shared" si="8"/>
        <v>0.9012252974212047</v>
      </c>
      <c r="G77" s="42">
        <f t="shared" si="9"/>
        <v>1.620308983554806E-05</v>
      </c>
    </row>
    <row r="78" spans="2:7" ht="12.75">
      <c r="B78" s="32">
        <f t="shared" si="6"/>
        <v>2.120000000000001</v>
      </c>
      <c r="C78" s="37">
        <f t="shared" si="10"/>
        <v>0.8380590909996593</v>
      </c>
      <c r="D78" s="38">
        <f t="shared" si="7"/>
        <v>0.002798191364689284</v>
      </c>
      <c r="E78" s="39">
        <v>0.0064483058802390116</v>
      </c>
      <c r="F78" s="41">
        <f t="shared" si="8"/>
        <v>0.899424648075924</v>
      </c>
      <c r="G78" s="42">
        <f t="shared" si="9"/>
        <v>1.6228853031436054E-05</v>
      </c>
    </row>
    <row r="79" spans="2:7" ht="12.75">
      <c r="B79" s="32">
        <f t="shared" si="6"/>
        <v>2.160000000000001</v>
      </c>
      <c r="C79" s="37">
        <f t="shared" si="10"/>
        <v>0.8352702114112698</v>
      </c>
      <c r="D79" s="38">
        <f t="shared" si="7"/>
        <v>0.00278887958838947</v>
      </c>
      <c r="E79" s="39">
        <v>0.0064879268688109275</v>
      </c>
      <c r="F79" s="41">
        <f t="shared" si="8"/>
        <v>0.8976275964304349</v>
      </c>
      <c r="G79" s="42">
        <f t="shared" si="9"/>
        <v>1.6241715752598652E-05</v>
      </c>
    </row>
    <row r="80" spans="2:7" ht="12.75">
      <c r="B80" s="32">
        <f t="shared" si="6"/>
        <v>2.200000000000001</v>
      </c>
      <c r="C80" s="37">
        <f t="shared" si="10"/>
        <v>0.8324906126116004</v>
      </c>
      <c r="D80" s="38">
        <f t="shared" si="7"/>
        <v>0.0027795987996693805</v>
      </c>
      <c r="E80" s="39">
        <v>0.006537455609068828</v>
      </c>
      <c r="F80" s="41">
        <f t="shared" si="8"/>
        <v>0.8958341352965282</v>
      </c>
      <c r="G80" s="42">
        <f t="shared" si="9"/>
        <v>1.6278653361334747E-05</v>
      </c>
    </row>
    <row r="81" spans="2:7" ht="12.75">
      <c r="B81" s="32">
        <f t="shared" si="6"/>
        <v>2.240000000000001</v>
      </c>
      <c r="C81" s="37">
        <f t="shared" si="10"/>
        <v>0.8297202637161915</v>
      </c>
      <c r="D81" s="38">
        <f t="shared" si="7"/>
        <v>0.0027703488954089472</v>
      </c>
      <c r="E81" s="39">
        <v>0.006579945347278444</v>
      </c>
      <c r="F81" s="41">
        <f t="shared" si="8"/>
        <v>0.8940442575003572</v>
      </c>
      <c r="G81" s="42">
        <f t="shared" si="9"/>
        <v>1.629730418492603E-05</v>
      </c>
    </row>
    <row r="82" spans="2:7" ht="12.75">
      <c r="B82" s="32">
        <f t="shared" si="6"/>
        <v>2.280000000000001</v>
      </c>
      <c r="C82" s="37">
        <f t="shared" si="10"/>
        <v>0.82695913394336</v>
      </c>
      <c r="D82" s="38">
        <f t="shared" si="7"/>
        <v>0.0027611297728314943</v>
      </c>
      <c r="E82" s="39">
        <v>0.006627983371015096</v>
      </c>
      <c r="F82" s="41">
        <f t="shared" si="8"/>
        <v>0.8922579558824083</v>
      </c>
      <c r="G82" s="42">
        <f t="shared" si="9"/>
        <v>1.6328964998780164E-05</v>
      </c>
    </row>
    <row r="83" spans="2:7" ht="12.75">
      <c r="B83" s="32">
        <f t="shared" si="6"/>
        <v>2.320000000000001</v>
      </c>
      <c r="C83" s="37">
        <f t="shared" si="10"/>
        <v>0.8242071926138579</v>
      </c>
      <c r="D83" s="38">
        <f t="shared" si="7"/>
        <v>0.0027519413295020723</v>
      </c>
      <c r="E83" s="39">
        <v>0.006670713715286228</v>
      </c>
      <c r="F83" s="41">
        <f t="shared" si="8"/>
        <v>0.8904752232974725</v>
      </c>
      <c r="G83" s="42">
        <f t="shared" si="9"/>
        <v>1.6346821235861316E-05</v>
      </c>
    </row>
    <row r="84" spans="2:7" ht="12.75">
      <c r="B84" s="32">
        <f t="shared" si="6"/>
        <v>2.360000000000001</v>
      </c>
      <c r="C84" s="37">
        <f t="shared" si="10"/>
        <v>0.8214644091505311</v>
      </c>
      <c r="D84" s="38">
        <f t="shared" si="7"/>
        <v>0.0027427834633267922</v>
      </c>
      <c r="E84" s="39">
        <v>0.006711599732665753</v>
      </c>
      <c r="F84" s="41">
        <f t="shared" si="8"/>
        <v>0.8886960526146173</v>
      </c>
      <c r="G84" s="42">
        <f t="shared" si="9"/>
        <v>1.6359529966217792E-05</v>
      </c>
    </row>
    <row r="85" spans="2:7" ht="12.75">
      <c r="B85" s="32">
        <f t="shared" si="6"/>
        <v>2.4000000000000012</v>
      </c>
      <c r="C85" s="37">
        <f t="shared" si="10"/>
        <v>0.8187307530779794</v>
      </c>
      <c r="D85" s="38">
        <f t="shared" si="7"/>
        <v>0.0027336560725517156</v>
      </c>
      <c r="E85" s="39">
        <v>0.006744674716507476</v>
      </c>
      <c r="F85" s="41">
        <f t="shared" si="8"/>
        <v>0.8869204367171575</v>
      </c>
      <c r="G85" s="42">
        <f t="shared" si="9"/>
        <v>1.6352702865945586E-05</v>
      </c>
    </row>
    <row r="86" spans="2:7" ht="12.75">
      <c r="B86" s="32">
        <f t="shared" si="6"/>
        <v>2.4400000000000013</v>
      </c>
      <c r="C86" s="37">
        <f t="shared" si="10"/>
        <v>0.8160061940222184</v>
      </c>
      <c r="D86" s="38">
        <f t="shared" si="7"/>
        <v>0.0027245590557609667</v>
      </c>
      <c r="E86" s="39">
        <v>0.006779132503664248</v>
      </c>
      <c r="F86" s="41">
        <f t="shared" si="8"/>
        <v>0.885148368502627</v>
      </c>
      <c r="G86" s="42">
        <f t="shared" si="9"/>
        <v>1.6348820352991707E-05</v>
      </c>
    </row>
    <row r="87" spans="2:7" ht="12.75">
      <c r="B87" s="32">
        <f t="shared" si="6"/>
        <v>2.4800000000000013</v>
      </c>
      <c r="C87" s="37">
        <f t="shared" si="10"/>
        <v>0.8132907017103417</v>
      </c>
      <c r="D87" s="38">
        <f t="shared" si="7"/>
        <v>0.0027154923118767327</v>
      </c>
      <c r="E87" s="39">
        <v>0.0068209200376155</v>
      </c>
      <c r="F87" s="41">
        <f t="shared" si="8"/>
        <v>0.8833798408827508</v>
      </c>
      <c r="G87" s="42">
        <f t="shared" si="9"/>
        <v>1.6362099151244442E-05</v>
      </c>
    </row>
    <row r="88" spans="2:7" ht="12.75">
      <c r="B88" s="32">
        <f t="shared" si="6"/>
        <v>2.5200000000000014</v>
      </c>
      <c r="C88" s="37">
        <f t="shared" si="10"/>
        <v>0.8105842459701845</v>
      </c>
      <c r="D88" s="38">
        <f t="shared" si="7"/>
        <v>0.0027064557401571543</v>
      </c>
      <c r="E88" s="39">
        <v>0.006872221649760141</v>
      </c>
      <c r="F88" s="41">
        <f t="shared" si="8"/>
        <v>0.881614846783416</v>
      </c>
      <c r="G88" s="42">
        <f t="shared" si="9"/>
        <v>1.639747520652613E-05</v>
      </c>
    </row>
    <row r="89" spans="2:7" ht="12.75">
      <c r="B89" s="32">
        <f t="shared" si="6"/>
        <v>2.5600000000000014</v>
      </c>
      <c r="C89" s="37">
        <f t="shared" si="10"/>
        <v>0.8078867967299885</v>
      </c>
      <c r="D89" s="38">
        <f t="shared" si="7"/>
        <v>0.0026974492401959926</v>
      </c>
      <c r="E89" s="39">
        <v>0.006923945306542778</v>
      </c>
      <c r="F89" s="41">
        <f t="shared" si="8"/>
        <v>0.8798533791446438</v>
      </c>
      <c r="G89" s="42">
        <f t="shared" si="9"/>
        <v>1.643301364914051E-05</v>
      </c>
    </row>
    <row r="90" spans="2:7" ht="12.75">
      <c r="B90" s="32">
        <f aca="true" t="shared" si="11" ref="B90:B121">B89+0.04</f>
        <v>2.6000000000000014</v>
      </c>
      <c r="C90" s="37">
        <f t="shared" si="10"/>
        <v>0.8051983240180679</v>
      </c>
      <c r="D90" s="38">
        <f aca="true" t="shared" si="12" ref="D90:D121">C89-C90</f>
        <v>0.002688472711920631</v>
      </c>
      <c r="E90" s="39">
        <v>0.006969550058611152</v>
      </c>
      <c r="F90" s="41">
        <f aca="true" t="shared" si="13" ref="F90:F121">EXP(-IRate*B90)</f>
        <v>0.8780954309205612</v>
      </c>
      <c r="G90" s="42">
        <f aca="true" t="shared" si="14" ref="G90:G121">D90*E90*F90</f>
        <v>1.645326497065346E-05</v>
      </c>
    </row>
    <row r="91" spans="2:7" ht="12.75">
      <c r="B91" s="32">
        <f t="shared" si="11"/>
        <v>2.6400000000000015</v>
      </c>
      <c r="C91" s="37">
        <f t="shared" si="10"/>
        <v>0.8025187979624758</v>
      </c>
      <c r="D91" s="38">
        <f t="shared" si="12"/>
        <v>0.002679526055592074</v>
      </c>
      <c r="E91" s="39">
        <v>0.007007093487532473</v>
      </c>
      <c r="F91" s="41">
        <f t="shared" si="13"/>
        <v>0.8763409950793732</v>
      </c>
      <c r="G91" s="42">
        <f t="shared" si="14"/>
        <v>1.645390648441652E-05</v>
      </c>
    </row>
    <row r="92" spans="2:7" ht="12.75">
      <c r="B92" s="32">
        <f t="shared" si="11"/>
        <v>2.6800000000000015</v>
      </c>
      <c r="C92" s="37">
        <f t="shared" si="10"/>
        <v>0.799848188790673</v>
      </c>
      <c r="D92" s="38">
        <f t="shared" si="12"/>
        <v>0.00267060917180284</v>
      </c>
      <c r="E92" s="39">
        <v>0.0070390567548106</v>
      </c>
      <c r="F92" s="41">
        <f t="shared" si="13"/>
        <v>0.874590064603334</v>
      </c>
      <c r="G92" s="42">
        <f t="shared" si="14"/>
        <v>1.6441042139901053E-05</v>
      </c>
    </row>
    <row r="93" spans="2:7" ht="12.75">
      <c r="B93" s="32">
        <f t="shared" si="11"/>
        <v>2.7200000000000015</v>
      </c>
      <c r="C93" s="37">
        <f t="shared" si="10"/>
        <v>0.7971864668291967</v>
      </c>
      <c r="D93" s="38">
        <f t="shared" si="12"/>
        <v>0.0026617219614762933</v>
      </c>
      <c r="E93" s="39">
        <v>0.007055737214066512</v>
      </c>
      <c r="F93" s="41">
        <f t="shared" si="13"/>
        <v>0.8728426324887193</v>
      </c>
      <c r="G93" s="42">
        <f t="shared" si="14"/>
        <v>1.639234311206419E-05</v>
      </c>
    </row>
    <row r="94" spans="2:7" ht="12.75">
      <c r="B94" s="32">
        <f t="shared" si="11"/>
        <v>2.7600000000000016</v>
      </c>
      <c r="C94" s="37">
        <f t="shared" si="10"/>
        <v>0.7945336025033312</v>
      </c>
      <c r="D94" s="38">
        <f t="shared" si="12"/>
        <v>0.0026528643258655338</v>
      </c>
      <c r="E94" s="39">
        <v>0.007067811755070975</v>
      </c>
      <c r="F94" s="41">
        <f t="shared" si="13"/>
        <v>0.8710986917457982</v>
      </c>
      <c r="G94" s="42">
        <f t="shared" si="14"/>
        <v>1.63330531407944E-05</v>
      </c>
    </row>
    <row r="95" spans="2:7" ht="12.75">
      <c r="B95" s="32">
        <f t="shared" si="11"/>
        <v>2.8000000000000016</v>
      </c>
      <c r="C95" s="37">
        <f t="shared" si="10"/>
        <v>0.7918895663367788</v>
      </c>
      <c r="D95" s="38">
        <f t="shared" si="12"/>
        <v>0.0026440361665523993</v>
      </c>
      <c r="E95" s="39">
        <v>0.007079110593087081</v>
      </c>
      <c r="F95" s="41">
        <f t="shared" si="13"/>
        <v>0.8693582353988057</v>
      </c>
      <c r="G95" s="42">
        <f t="shared" si="14"/>
        <v>1.6272147078149403E-05</v>
      </c>
    </row>
    <row r="96" spans="2:7" ht="12.75">
      <c r="B96" s="32">
        <f t="shared" si="11"/>
        <v>2.8400000000000016</v>
      </c>
      <c r="C96" s="37">
        <f t="shared" si="10"/>
        <v>0.7892543289513327</v>
      </c>
      <c r="D96" s="38">
        <f t="shared" si="12"/>
        <v>0.002635237385446021</v>
      </c>
      <c r="E96" s="39">
        <v>0.007082825946118492</v>
      </c>
      <c r="F96" s="41">
        <f t="shared" si="13"/>
        <v>0.8676212564859139</v>
      </c>
      <c r="G96" s="42">
        <f t="shared" si="14"/>
        <v>1.619408804742869E-05</v>
      </c>
    </row>
    <row r="97" spans="2:7" ht="12.75">
      <c r="B97" s="32">
        <f t="shared" si="11"/>
        <v>2.8800000000000017</v>
      </c>
      <c r="C97" s="37">
        <f t="shared" si="10"/>
        <v>0.7866278610665505</v>
      </c>
      <c r="D97" s="38">
        <f t="shared" si="12"/>
        <v>0.0026264678847822687</v>
      </c>
      <c r="E97" s="39">
        <v>0.007065437594818936</v>
      </c>
      <c r="F97" s="41">
        <f t="shared" si="13"/>
        <v>0.8658877480592049</v>
      </c>
      <c r="G97" s="42">
        <f t="shared" si="14"/>
        <v>1.6068404437937492E-05</v>
      </c>
    </row>
    <row r="98" spans="2:7" ht="12.75">
      <c r="B98" s="32">
        <f t="shared" si="11"/>
        <v>2.9200000000000017</v>
      </c>
      <c r="C98" s="37">
        <f t="shared" si="10"/>
        <v>0.7840101334994285</v>
      </c>
      <c r="D98" s="38">
        <f t="shared" si="12"/>
        <v>0.0026177275671219746</v>
      </c>
      <c r="E98" s="39">
        <v>0.007049730910772914</v>
      </c>
      <c r="F98" s="41">
        <f t="shared" si="13"/>
        <v>0.8641577031846427</v>
      </c>
      <c r="G98" s="42">
        <f t="shared" si="14"/>
        <v>1.594740385120599E-05</v>
      </c>
    </row>
    <row r="99" spans="2:7" ht="12.75">
      <c r="B99" s="32">
        <f t="shared" si="11"/>
        <v>2.9600000000000017</v>
      </c>
      <c r="C99" s="37">
        <f t="shared" si="10"/>
        <v>0.781401117164078</v>
      </c>
      <c r="D99" s="38">
        <f t="shared" si="12"/>
        <v>0.002609016335350489</v>
      </c>
      <c r="E99" s="39">
        <v>0.0070301285483130825</v>
      </c>
      <c r="F99" s="41">
        <f t="shared" si="13"/>
        <v>0.8624311149420454</v>
      </c>
      <c r="G99" s="42">
        <f t="shared" si="14"/>
        <v>1.5818470221154796E-05</v>
      </c>
    </row>
    <row r="100" spans="2:7" ht="12.75">
      <c r="B100" s="32">
        <f t="shared" si="11"/>
        <v>3.0000000000000018</v>
      </c>
      <c r="C100" s="37">
        <f t="shared" si="10"/>
        <v>0.7788007830714018</v>
      </c>
      <c r="D100" s="38">
        <f t="shared" si="12"/>
        <v>0.0026003340926762375</v>
      </c>
      <c r="E100" s="39">
        <v>0.006998402339924624</v>
      </c>
      <c r="F100" s="41">
        <f t="shared" si="13"/>
        <v>0.8607079764250577</v>
      </c>
      <c r="G100" s="42">
        <f t="shared" si="14"/>
        <v>1.566332229633478E-05</v>
      </c>
    </row>
    <row r="101" spans="2:7" ht="12.75">
      <c r="B101" s="32">
        <f t="shared" si="11"/>
        <v>3.040000000000002</v>
      </c>
      <c r="C101" s="37">
        <f aca="true" t="shared" si="15" ref="C101:C125">C100*EXP(-(B101-B100)*HazardRate4)</f>
        <v>0.776209102328772</v>
      </c>
      <c r="D101" s="38">
        <f t="shared" si="12"/>
        <v>0.0025916807426297206</v>
      </c>
      <c r="E101" s="39">
        <v>0.006960285142293287</v>
      </c>
      <c r="F101" s="41">
        <f t="shared" si="13"/>
        <v>0.8589882807411234</v>
      </c>
      <c r="G101" s="42">
        <f t="shared" si="14"/>
        <v>1.549514955241748E-05</v>
      </c>
    </row>
    <row r="102" spans="2:7" ht="12.75">
      <c r="B102" s="32">
        <f t="shared" si="11"/>
        <v>3.080000000000002</v>
      </c>
      <c r="C102" s="37">
        <f t="shared" si="15"/>
        <v>0.7736260461397094</v>
      </c>
      <c r="D102" s="38">
        <f t="shared" si="12"/>
        <v>0.002583056189062627</v>
      </c>
      <c r="E102" s="39">
        <v>0.006917615088394233</v>
      </c>
      <c r="F102" s="41">
        <f t="shared" si="13"/>
        <v>0.8572720210114574</v>
      </c>
      <c r="G102" s="42">
        <f t="shared" si="14"/>
        <v>1.5318240948266962E-05</v>
      </c>
    </row>
    <row r="103" spans="2:7" ht="12.75">
      <c r="B103" s="32">
        <f t="shared" si="11"/>
        <v>3.120000000000002</v>
      </c>
      <c r="C103" s="37">
        <f t="shared" si="15"/>
        <v>0.771051585803563</v>
      </c>
      <c r="D103" s="38">
        <f t="shared" si="12"/>
        <v>0.002574460336146389</v>
      </c>
      <c r="E103" s="39">
        <v>0.006866578951353838</v>
      </c>
      <c r="F103" s="41">
        <f t="shared" si="13"/>
        <v>0.8555591903710184</v>
      </c>
      <c r="G103" s="42">
        <f t="shared" si="14"/>
        <v>1.5124348777043038E-05</v>
      </c>
    </row>
    <row r="104" spans="2:7" ht="12.75">
      <c r="B104" s="32">
        <f t="shared" si="11"/>
        <v>3.160000000000002</v>
      </c>
      <c r="C104" s="37">
        <f t="shared" si="15"/>
        <v>0.7684856927151915</v>
      </c>
      <c r="D104" s="38">
        <f t="shared" si="12"/>
        <v>0.002565893088371518</v>
      </c>
      <c r="E104" s="39">
        <v>0.006808678071543695</v>
      </c>
      <c r="F104" s="41">
        <f t="shared" si="13"/>
        <v>0.8538497819684816</v>
      </c>
      <c r="G104" s="42">
        <f t="shared" si="14"/>
        <v>1.4917046003945998E-05</v>
      </c>
    </row>
    <row r="105" spans="2:7" ht="12.75">
      <c r="B105" s="32">
        <f t="shared" si="11"/>
        <v>3.200000000000002</v>
      </c>
      <c r="C105" s="37">
        <f t="shared" si="15"/>
        <v>0.7659283383646454</v>
      </c>
      <c r="D105" s="38">
        <f t="shared" si="12"/>
        <v>0.0025573543505461593</v>
      </c>
      <c r="E105" s="39">
        <v>0.006750005675355716</v>
      </c>
      <c r="F105" s="41">
        <f t="shared" si="13"/>
        <v>0.8521437889662112</v>
      </c>
      <c r="G105" s="42">
        <f t="shared" si="14"/>
        <v>1.4709839343450507E-05</v>
      </c>
    </row>
    <row r="106" spans="2:7" ht="12.75">
      <c r="B106" s="32">
        <f t="shared" si="11"/>
        <v>3.240000000000002</v>
      </c>
      <c r="C106" s="37">
        <f t="shared" si="15"/>
        <v>0.7633794943368498</v>
      </c>
      <c r="D106" s="38">
        <f t="shared" si="12"/>
        <v>0.002548844027795538</v>
      </c>
      <c r="E106" s="39">
        <v>0.0066712938842048725</v>
      </c>
      <c r="F106" s="41">
        <f t="shared" si="13"/>
        <v>0.8504412045402329</v>
      </c>
      <c r="G106" s="42">
        <f t="shared" si="14"/>
        <v>1.4460976718901167E-05</v>
      </c>
    </row>
    <row r="107" spans="2:7" ht="12.75">
      <c r="B107" s="32">
        <f t="shared" si="11"/>
        <v>3.280000000000002</v>
      </c>
      <c r="C107" s="37">
        <f t="shared" si="15"/>
        <v>0.7608391323112895</v>
      </c>
      <c r="D107" s="38">
        <f t="shared" si="12"/>
        <v>0.0025403620255602943</v>
      </c>
      <c r="E107" s="39">
        <v>0.006592780226567294</v>
      </c>
      <c r="F107" s="41">
        <f t="shared" si="13"/>
        <v>0.8487420218802066</v>
      </c>
      <c r="G107" s="42">
        <f t="shared" si="14"/>
        <v>1.4214772572270367E-05</v>
      </c>
    </row>
    <row r="108" spans="2:7" ht="12.75">
      <c r="B108" s="32">
        <f t="shared" si="11"/>
        <v>3.320000000000002</v>
      </c>
      <c r="C108" s="37">
        <f t="shared" si="15"/>
        <v>0.7583072240616936</v>
      </c>
      <c r="D108" s="38">
        <f t="shared" si="12"/>
        <v>0.0025319082495959266</v>
      </c>
      <c r="E108" s="39">
        <v>0.0065079521519465135</v>
      </c>
      <c r="F108" s="41">
        <f t="shared" si="13"/>
        <v>0.8470462341893995</v>
      </c>
      <c r="G108" s="42">
        <f t="shared" si="14"/>
        <v>1.3957236292641912E-05</v>
      </c>
    </row>
    <row r="109" spans="2:7" ht="12.75">
      <c r="B109" s="32">
        <f t="shared" si="11"/>
        <v>3.360000000000002</v>
      </c>
      <c r="C109" s="37">
        <f t="shared" si="15"/>
        <v>0.755783741455722</v>
      </c>
      <c r="D109" s="38">
        <f t="shared" si="12"/>
        <v>0.002523482605971572</v>
      </c>
      <c r="E109" s="39">
        <v>0.006424959216054302</v>
      </c>
      <c r="F109" s="41">
        <f t="shared" si="13"/>
        <v>0.8453538346846586</v>
      </c>
      <c r="G109" s="42">
        <f t="shared" si="14"/>
        <v>1.370595235606996E-05</v>
      </c>
    </row>
    <row r="110" spans="2:7" ht="12.75">
      <c r="B110" s="32">
        <f t="shared" si="11"/>
        <v>3.400000000000002</v>
      </c>
      <c r="C110" s="37">
        <f t="shared" si="15"/>
        <v>0.7532686564546534</v>
      </c>
      <c r="D110" s="38">
        <f t="shared" si="12"/>
        <v>0.002515085001068673</v>
      </c>
      <c r="E110" s="39">
        <v>0.006352795582028805</v>
      </c>
      <c r="F110" s="41">
        <f t="shared" si="13"/>
        <v>0.8436648165963836</v>
      </c>
      <c r="G110" s="42">
        <f t="shared" si="14"/>
        <v>1.3479925325048276E-05</v>
      </c>
    </row>
    <row r="111" spans="2:7" ht="12.75">
      <c r="B111" s="32">
        <f t="shared" si="11"/>
        <v>3.440000000000002</v>
      </c>
      <c r="C111" s="37">
        <f t="shared" si="15"/>
        <v>0.7507619411130727</v>
      </c>
      <c r="D111" s="38">
        <f t="shared" si="12"/>
        <v>0.0025067153415806454</v>
      </c>
      <c r="E111" s="39">
        <v>0.006281869937921446</v>
      </c>
      <c r="F111" s="41">
        <f t="shared" si="13"/>
        <v>0.8419791731684998</v>
      </c>
      <c r="G111" s="42">
        <f t="shared" si="14"/>
        <v>1.3258527949949425E-05</v>
      </c>
    </row>
    <row r="112" spans="2:7" ht="12.75">
      <c r="B112" s="32">
        <f t="shared" si="11"/>
        <v>3.480000000000002</v>
      </c>
      <c r="C112" s="37">
        <f t="shared" si="15"/>
        <v>0.7482635675785617</v>
      </c>
      <c r="D112" s="38">
        <f t="shared" si="12"/>
        <v>0.002498373534510989</v>
      </c>
      <c r="E112" s="39">
        <v>0.006206509030569638</v>
      </c>
      <c r="F112" s="41">
        <f t="shared" si="13"/>
        <v>0.8402968976584313</v>
      </c>
      <c r="G112" s="42">
        <f t="shared" si="14"/>
        <v>1.3029793187000878E-05</v>
      </c>
    </row>
    <row r="113" spans="2:7" ht="12.75">
      <c r="B113" s="32">
        <f t="shared" si="11"/>
        <v>3.5200000000000022</v>
      </c>
      <c r="C113" s="37">
        <f t="shared" si="15"/>
        <v>0.7457735080913886</v>
      </c>
      <c r="D113" s="38">
        <f t="shared" si="12"/>
        <v>0.0024900594871730686</v>
      </c>
      <c r="E113" s="39">
        <v>0.006137424282223166</v>
      </c>
      <c r="F113" s="41">
        <f t="shared" si="13"/>
        <v>0.8386179833370739</v>
      </c>
      <c r="G113" s="42">
        <f t="shared" si="14"/>
        <v>1.2816222570126177E-05</v>
      </c>
    </row>
    <row r="114" spans="2:7" ht="12.75">
      <c r="B114" s="32">
        <f t="shared" si="11"/>
        <v>3.5600000000000023</v>
      </c>
      <c r="C114" s="37">
        <f t="shared" si="15"/>
        <v>0.7432917349842003</v>
      </c>
      <c r="D114" s="38">
        <f t="shared" si="12"/>
        <v>0.002481773107188334</v>
      </c>
      <c r="E114" s="39">
        <v>0.006074004393120691</v>
      </c>
      <c r="F114" s="41">
        <f t="shared" si="13"/>
        <v>0.836942423488768</v>
      </c>
      <c r="G114" s="42">
        <f t="shared" si="14"/>
        <v>1.2616321806950061E-05</v>
      </c>
    </row>
    <row r="115" spans="2:7" ht="12.75">
      <c r="B115" s="32">
        <f t="shared" si="11"/>
        <v>3.6000000000000023</v>
      </c>
      <c r="C115" s="37">
        <f t="shared" si="15"/>
        <v>0.7408182206817143</v>
      </c>
      <c r="D115" s="38">
        <f t="shared" si="12"/>
        <v>0.0024735143024859907</v>
      </c>
      <c r="E115" s="39">
        <v>0.006003638778545508</v>
      </c>
      <c r="F115" s="41">
        <f t="shared" si="13"/>
        <v>0.8352702114112719</v>
      </c>
      <c r="G115" s="42">
        <f t="shared" si="14"/>
        <v>1.2403834794852471E-05</v>
      </c>
    </row>
    <row r="116" spans="2:7" ht="12.75">
      <c r="B116" s="32">
        <f t="shared" si="11"/>
        <v>3.6400000000000023</v>
      </c>
      <c r="C116" s="37">
        <f t="shared" si="15"/>
        <v>0.7383529377004131</v>
      </c>
      <c r="D116" s="38">
        <f t="shared" si="12"/>
        <v>0.00246528298130122</v>
      </c>
      <c r="E116" s="39">
        <v>0.0059383294092244365</v>
      </c>
      <c r="F116" s="41">
        <f t="shared" si="13"/>
        <v>0.8336013404157352</v>
      </c>
      <c r="G116" s="42">
        <f t="shared" si="14"/>
        <v>1.2203642224816467E-05</v>
      </c>
    </row>
    <row r="117" spans="2:7" ht="12.75">
      <c r="B117" s="32">
        <f t="shared" si="11"/>
        <v>3.6800000000000024</v>
      </c>
      <c r="C117" s="37">
        <f t="shared" si="15"/>
        <v>0.7358958586482381</v>
      </c>
      <c r="D117" s="38">
        <f t="shared" si="12"/>
        <v>0.0024570790521749597</v>
      </c>
      <c r="E117" s="39">
        <v>0.005865806817621657</v>
      </c>
      <c r="F117" s="41">
        <f t="shared" si="13"/>
        <v>0.8319358038266716</v>
      </c>
      <c r="G117" s="42">
        <f t="shared" si="14"/>
        <v>1.1990483634863545E-05</v>
      </c>
    </row>
    <row r="118" spans="2:7" ht="12.75">
      <c r="B118" s="32">
        <f t="shared" si="11"/>
        <v>3.7200000000000024</v>
      </c>
      <c r="C118" s="37">
        <f t="shared" si="15"/>
        <v>0.7334469562242857</v>
      </c>
      <c r="D118" s="38">
        <f t="shared" si="12"/>
        <v>0.0024489024239524593</v>
      </c>
      <c r="E118" s="39">
        <v>0.005787437459747054</v>
      </c>
      <c r="F118" s="41">
        <f t="shared" si="13"/>
        <v>0.8302735949819325</v>
      </c>
      <c r="G118" s="42">
        <f t="shared" si="14"/>
        <v>1.1767359413636308E-05</v>
      </c>
    </row>
    <row r="119" spans="2:7" ht="12.75">
      <c r="B119" s="32">
        <f t="shared" si="11"/>
        <v>3.7600000000000025</v>
      </c>
      <c r="C119" s="37">
        <f t="shared" si="15"/>
        <v>0.7310062032185037</v>
      </c>
      <c r="D119" s="38">
        <f t="shared" si="12"/>
        <v>0.002440753005781948</v>
      </c>
      <c r="E119" s="39">
        <v>0.0056988028494504486</v>
      </c>
      <c r="F119" s="41">
        <f t="shared" si="13"/>
        <v>0.8286147072326805</v>
      </c>
      <c r="G119" s="42">
        <f t="shared" si="14"/>
        <v>1.15255087029345E-05</v>
      </c>
    </row>
    <row r="120" spans="2:7" ht="12.75">
      <c r="B120" s="32">
        <f t="shared" si="11"/>
        <v>3.8000000000000025</v>
      </c>
      <c r="C120" s="37">
        <f t="shared" si="15"/>
        <v>0.7285735725113893</v>
      </c>
      <c r="D120" s="38">
        <f t="shared" si="12"/>
        <v>0.0024326307071144138</v>
      </c>
      <c r="E120" s="39">
        <v>0.005587378312317252</v>
      </c>
      <c r="F120" s="41">
        <f t="shared" si="13"/>
        <v>0.8269591339433622</v>
      </c>
      <c r="G120" s="42">
        <f t="shared" si="14"/>
        <v>1.1240051748737952E-05</v>
      </c>
    </row>
    <row r="121" spans="2:7" ht="12.75">
      <c r="B121" s="32">
        <f t="shared" si="11"/>
        <v>3.8400000000000025</v>
      </c>
      <c r="C121" s="37">
        <f t="shared" si="15"/>
        <v>0.7261490370736873</v>
      </c>
      <c r="D121" s="38">
        <f t="shared" si="12"/>
        <v>0.0024245354377020467</v>
      </c>
      <c r="E121" s="39">
        <v>0.005463550403016472</v>
      </c>
      <c r="F121" s="41">
        <f t="shared" si="13"/>
        <v>0.8253068684916822</v>
      </c>
      <c r="G121" s="42">
        <f t="shared" si="14"/>
        <v>1.0932486498859372E-05</v>
      </c>
    </row>
    <row r="122" spans="2:7" ht="12.75">
      <c r="B122" s="32">
        <f aca="true" t="shared" si="16" ref="B122:B150">B121+0.04</f>
        <v>3.8800000000000026</v>
      </c>
      <c r="C122" s="37">
        <f t="shared" si="15"/>
        <v>0.72373256996609</v>
      </c>
      <c r="D122" s="38">
        <f aca="true" t="shared" si="17" ref="D122:D150">C121-C122</f>
        <v>0.002416467107597242</v>
      </c>
      <c r="E122" s="39">
        <v>0.0053267911953677576</v>
      </c>
      <c r="F122" s="41">
        <f aca="true" t="shared" si="18" ref="F122:F150">EXP(-IRate*B122)</f>
        <v>0.8236579042685768</v>
      </c>
      <c r="G122" s="42">
        <f aca="true" t="shared" si="19" ref="G122:G150">D122*E122*F122</f>
        <v>1.060213748558919E-05</v>
      </c>
    </row>
    <row r="123" spans="2:7" ht="12.75">
      <c r="B123" s="32">
        <f t="shared" si="16"/>
        <v>3.9200000000000026</v>
      </c>
      <c r="C123" s="37">
        <f t="shared" si="15"/>
        <v>0.7213241443389383</v>
      </c>
      <c r="D123" s="38">
        <f t="shared" si="17"/>
        <v>0.0024084256271517113</v>
      </c>
      <c r="E123" s="39">
        <v>0.005180550754206472</v>
      </c>
      <c r="F123" s="41">
        <f t="shared" si="18"/>
        <v>0.8220122346781864</v>
      </c>
      <c r="G123" s="42">
        <f t="shared" si="19"/>
        <v>1.025622297746236E-05</v>
      </c>
    </row>
    <row r="124" spans="2:7" ht="12.75">
      <c r="B124" s="32">
        <f t="shared" si="16"/>
        <v>3.9600000000000026</v>
      </c>
      <c r="C124" s="37">
        <f t="shared" si="15"/>
        <v>0.7189237334319225</v>
      </c>
      <c r="D124" s="38">
        <f t="shared" si="17"/>
        <v>0.0024004109070158153</v>
      </c>
      <c r="E124" s="39">
        <v>0.00505143243105273</v>
      </c>
      <c r="F124" s="41">
        <f t="shared" si="18"/>
        <v>0.820369853137831</v>
      </c>
      <c r="G124" s="42">
        <f t="shared" si="19"/>
        <v>9.94740573213006E-06</v>
      </c>
    </row>
    <row r="125" spans="2:7" ht="12.75">
      <c r="B125" s="32">
        <f t="shared" si="16"/>
        <v>4.000000000000003</v>
      </c>
      <c r="C125" s="37">
        <f t="shared" si="15"/>
        <v>0.7165313105737856</v>
      </c>
      <c r="D125" s="38">
        <f t="shared" si="17"/>
        <v>0.0023924228581369</v>
      </c>
      <c r="E125" s="39">
        <v>0.004917384773974142</v>
      </c>
      <c r="F125" s="41">
        <f t="shared" si="18"/>
        <v>0.8187307530779817</v>
      </c>
      <c r="G125" s="42">
        <f t="shared" si="19"/>
        <v>9.631928253732783E-06</v>
      </c>
    </row>
    <row r="126" spans="2:7" ht="12.75">
      <c r="B126" s="32">
        <f t="shared" si="16"/>
        <v>4.040000000000003</v>
      </c>
      <c r="C126" s="37">
        <f aca="true" t="shared" si="20" ref="C126:C150">C125*EXP(-(B126-B125)*HazardRate5)</f>
        <v>0.7141468491820268</v>
      </c>
      <c r="D126" s="38">
        <f t="shared" si="17"/>
        <v>0.002384461391758852</v>
      </c>
      <c r="E126" s="39">
        <v>0.0047734715882910336</v>
      </c>
      <c r="F126" s="41">
        <f t="shared" si="18"/>
        <v>0.8170949279422365</v>
      </c>
      <c r="G126" s="42">
        <f t="shared" si="19"/>
        <v>9.30030414847242E-06</v>
      </c>
    </row>
    <row r="127" spans="2:7" ht="12.75">
      <c r="B127" s="32">
        <f t="shared" si="16"/>
        <v>4.080000000000003</v>
      </c>
      <c r="C127" s="37">
        <f t="shared" si="20"/>
        <v>0.711770322762606</v>
      </c>
      <c r="D127" s="38">
        <f t="shared" si="17"/>
        <v>0.002376526419420766</v>
      </c>
      <c r="E127" s="39">
        <v>0.004616069772032404</v>
      </c>
      <c r="F127" s="41">
        <f t="shared" si="18"/>
        <v>0.8154623711872926</v>
      </c>
      <c r="G127" s="42">
        <f t="shared" si="19"/>
        <v>8.945794900046165E-06</v>
      </c>
    </row>
    <row r="128" spans="2:7" ht="12.75">
      <c r="B128" s="32">
        <f t="shared" si="16"/>
        <v>4.120000000000003</v>
      </c>
      <c r="C128" s="37">
        <f t="shared" si="20"/>
        <v>0.7094017049096498</v>
      </c>
      <c r="D128" s="38">
        <f t="shared" si="17"/>
        <v>0.0023686178529561674</v>
      </c>
      <c r="E128" s="39">
        <v>0.0044548337417305</v>
      </c>
      <c r="F128" s="41">
        <f t="shared" si="18"/>
        <v>0.8138330762829206</v>
      </c>
      <c r="G128" s="42">
        <f t="shared" si="19"/>
        <v>8.587402822881789E-06</v>
      </c>
    </row>
    <row r="129" spans="2:7" ht="12.75">
      <c r="B129" s="32">
        <f t="shared" si="16"/>
        <v>4.160000000000003</v>
      </c>
      <c r="C129" s="37">
        <f t="shared" si="20"/>
        <v>0.7070409693051577</v>
      </c>
      <c r="D129" s="38">
        <f t="shared" si="17"/>
        <v>0.0023607356044921257</v>
      </c>
      <c r="E129" s="39">
        <v>0.004272367433497945</v>
      </c>
      <c r="F129" s="41">
        <f t="shared" si="18"/>
        <v>0.8122070367119388</v>
      </c>
      <c r="G129" s="42">
        <f t="shared" si="19"/>
        <v>8.191863249340368E-06</v>
      </c>
    </row>
    <row r="130" spans="2:7" ht="12.75">
      <c r="B130" s="32">
        <f t="shared" si="16"/>
        <v>4.200000000000003</v>
      </c>
      <c r="C130" s="37">
        <f t="shared" si="20"/>
        <v>0.7046880897187097</v>
      </c>
      <c r="D130" s="38">
        <f t="shared" si="17"/>
        <v>0.002352879586448031</v>
      </c>
      <c r="E130" s="39">
        <v>0.004085489892178044</v>
      </c>
      <c r="F130" s="41">
        <f t="shared" si="18"/>
        <v>0.810584245970187</v>
      </c>
      <c r="G130" s="42">
        <f t="shared" si="19"/>
        <v>7.791875433273523E-06</v>
      </c>
    </row>
    <row r="131" spans="2:7" ht="12.75">
      <c r="B131" s="32">
        <f t="shared" si="16"/>
        <v>4.240000000000003</v>
      </c>
      <c r="C131" s="37">
        <f t="shared" si="20"/>
        <v>0.7023430400071751</v>
      </c>
      <c r="D131" s="38">
        <f t="shared" si="17"/>
        <v>0.002345049711534597</v>
      </c>
      <c r="E131" s="39">
        <v>0.0038951033841496206</v>
      </c>
      <c r="F131" s="41">
        <f t="shared" si="18"/>
        <v>0.8089646975664997</v>
      </c>
      <c r="G131" s="42">
        <f t="shared" si="19"/>
        <v>7.389254293645793E-06</v>
      </c>
    </row>
    <row r="132" spans="2:7" ht="12.75">
      <c r="B132" s="32">
        <f t="shared" si="16"/>
        <v>4.280000000000003</v>
      </c>
      <c r="C132" s="37">
        <f t="shared" si="20"/>
        <v>0.7000057941144219</v>
      </c>
      <c r="D132" s="38">
        <f t="shared" si="17"/>
        <v>0.0023372458927531925</v>
      </c>
      <c r="E132" s="39">
        <v>0.003707514333040734</v>
      </c>
      <c r="F132" s="41">
        <f t="shared" si="18"/>
        <v>0.8073483850226814</v>
      </c>
      <c r="G132" s="42">
        <f t="shared" si="19"/>
        <v>6.995974612355244E-06</v>
      </c>
    </row>
    <row r="133" spans="2:7" ht="12.75">
      <c r="B133" s="32">
        <f t="shared" si="16"/>
        <v>4.320000000000003</v>
      </c>
      <c r="C133" s="37">
        <f t="shared" si="20"/>
        <v>0.6976763260710273</v>
      </c>
      <c r="D133" s="38">
        <f t="shared" si="17"/>
        <v>0.0023294680433946224</v>
      </c>
      <c r="E133" s="39">
        <v>0.0035100192606923493</v>
      </c>
      <c r="F133" s="41">
        <f t="shared" si="18"/>
        <v>0.8057353018734795</v>
      </c>
      <c r="G133" s="42">
        <f t="shared" si="19"/>
        <v>6.5880767274542625E-06</v>
      </c>
    </row>
    <row r="134" spans="2:7" ht="12.75">
      <c r="B134" s="32">
        <f t="shared" si="16"/>
        <v>4.360000000000003</v>
      </c>
      <c r="C134" s="37">
        <f t="shared" si="20"/>
        <v>0.6953546099939889</v>
      </c>
      <c r="D134" s="38">
        <f t="shared" si="17"/>
        <v>0.0023217160770383494</v>
      </c>
      <c r="E134" s="39">
        <v>0.0033106563333280634</v>
      </c>
      <c r="F134" s="41">
        <f t="shared" si="18"/>
        <v>0.8041254416665595</v>
      </c>
      <c r="G134" s="42">
        <f t="shared" si="19"/>
        <v>6.180833039179779E-06</v>
      </c>
    </row>
    <row r="135" spans="2:7" ht="12.75">
      <c r="B135" s="32">
        <f t="shared" si="16"/>
        <v>4.400000000000003</v>
      </c>
      <c r="C135" s="37">
        <f t="shared" si="20"/>
        <v>0.6930406200864376</v>
      </c>
      <c r="D135" s="38">
        <f t="shared" si="17"/>
        <v>0.0023139899075512727</v>
      </c>
      <c r="E135" s="39">
        <v>0.0031133419290748617</v>
      </c>
      <c r="F135" s="41">
        <f t="shared" si="18"/>
        <v>0.8025187979624784</v>
      </c>
      <c r="G135" s="42">
        <f t="shared" si="19"/>
        <v>5.781539471682032E-06</v>
      </c>
    </row>
    <row r="136" spans="2:7" ht="12.75">
      <c r="B136" s="32">
        <f t="shared" si="16"/>
        <v>4.440000000000003</v>
      </c>
      <c r="C136" s="37">
        <f t="shared" si="20"/>
        <v>0.6907343306373508</v>
      </c>
      <c r="D136" s="38">
        <f t="shared" si="17"/>
        <v>0.00230628944908684</v>
      </c>
      <c r="E136" s="39">
        <v>0.0029075788798869906</v>
      </c>
      <c r="F136" s="41">
        <f t="shared" si="18"/>
        <v>0.800915364334659</v>
      </c>
      <c r="G136" s="42">
        <f t="shared" si="19"/>
        <v>5.3707129700037E-06</v>
      </c>
    </row>
    <row r="137" spans="2:7" ht="12.75">
      <c r="B137" s="32">
        <f t="shared" si="16"/>
        <v>4.480000000000003</v>
      </c>
      <c r="C137" s="37">
        <f t="shared" si="20"/>
        <v>0.6884357160212662</v>
      </c>
      <c r="D137" s="38">
        <f t="shared" si="17"/>
        <v>0.0022986146160846044</v>
      </c>
      <c r="E137" s="39">
        <v>0.0026810862637907185</v>
      </c>
      <c r="F137" s="41">
        <f t="shared" si="18"/>
        <v>0.799315134369365</v>
      </c>
      <c r="G137" s="42">
        <f t="shared" si="19"/>
        <v>4.92600657934583E-06</v>
      </c>
    </row>
    <row r="138" spans="2:7" ht="12.75">
      <c r="B138" s="32">
        <f t="shared" si="16"/>
        <v>4.520000000000003</v>
      </c>
      <c r="C138" s="37">
        <f t="shared" si="20"/>
        <v>0.6861447506979979</v>
      </c>
      <c r="D138" s="38">
        <f t="shared" si="17"/>
        <v>0.0022909653232683347</v>
      </c>
      <c r="E138" s="39">
        <v>0.0024617464162547883</v>
      </c>
      <c r="F138" s="41">
        <f t="shared" si="18"/>
        <v>0.7977181016656741</v>
      </c>
      <c r="G138" s="42">
        <f t="shared" si="19"/>
        <v>4.49895114473865E-06</v>
      </c>
    </row>
    <row r="139" spans="2:7" ht="12.75">
      <c r="B139" s="32">
        <f t="shared" si="16"/>
        <v>4.560000000000003</v>
      </c>
      <c r="C139" s="37">
        <f t="shared" si="20"/>
        <v>0.683861409212352</v>
      </c>
      <c r="D139" s="38">
        <f t="shared" si="17"/>
        <v>0.0022833414856459067</v>
      </c>
      <c r="E139" s="39">
        <v>0.002241451057036447</v>
      </c>
      <c r="F139" s="41">
        <f t="shared" si="18"/>
        <v>0.7961242598354535</v>
      </c>
      <c r="G139" s="42">
        <f t="shared" si="19"/>
        <v>4.074562518127162E-06</v>
      </c>
    </row>
    <row r="140" spans="2:7" ht="12.75">
      <c r="B140" s="32">
        <f t="shared" si="16"/>
        <v>4.600000000000003</v>
      </c>
      <c r="C140" s="37">
        <f t="shared" si="20"/>
        <v>0.681585666193844</v>
      </c>
      <c r="D140" s="38">
        <f t="shared" si="17"/>
        <v>0.0022757430185079697</v>
      </c>
      <c r="E140" s="39">
        <v>0.0020314954176019837</v>
      </c>
      <c r="F140" s="41">
        <f t="shared" si="18"/>
        <v>0.7945336025033338</v>
      </c>
      <c r="G140" s="42">
        <f t="shared" si="19"/>
        <v>3.6732571724655332E-06</v>
      </c>
    </row>
    <row r="141" spans="2:7" ht="12.75">
      <c r="B141" s="32">
        <f t="shared" si="16"/>
        <v>4.640000000000003</v>
      </c>
      <c r="C141" s="37">
        <f t="shared" si="20"/>
        <v>0.679317496356417</v>
      </c>
      <c r="D141" s="38">
        <f t="shared" si="17"/>
        <v>0.0022681698374269477</v>
      </c>
      <c r="E141" s="39">
        <v>0.0018318053656978138</v>
      </c>
      <c r="F141" s="41">
        <f t="shared" si="18"/>
        <v>0.7929461233066836</v>
      </c>
      <c r="G141" s="42">
        <f t="shared" si="19"/>
        <v>3.2945687737141096E-06</v>
      </c>
    </row>
    <row r="142" spans="2:7" ht="12.75">
      <c r="B142" s="32">
        <f t="shared" si="16"/>
        <v>4.680000000000003</v>
      </c>
      <c r="C142" s="37">
        <f t="shared" si="20"/>
        <v>0.6770568744981607</v>
      </c>
      <c r="D142" s="38">
        <f t="shared" si="17"/>
        <v>0.002260621858256373</v>
      </c>
      <c r="E142" s="39">
        <v>0.0016373514122338933</v>
      </c>
      <c r="F142" s="41">
        <f t="shared" si="18"/>
        <v>0.7913618158955837</v>
      </c>
      <c r="G142" s="42">
        <f t="shared" si="19"/>
        <v>2.9291722592609244E-06</v>
      </c>
    </row>
    <row r="143" spans="2:7" ht="12.75">
      <c r="B143" s="32">
        <f t="shared" si="16"/>
        <v>4.720000000000003</v>
      </c>
      <c r="C143" s="37">
        <f t="shared" si="20"/>
        <v>0.674803775501031</v>
      </c>
      <c r="D143" s="38">
        <f t="shared" si="17"/>
        <v>0.0022530989971296655</v>
      </c>
      <c r="E143" s="39">
        <v>0.0014431596257127545</v>
      </c>
      <c r="F143" s="41">
        <f t="shared" si="18"/>
        <v>0.7897806739328026</v>
      </c>
      <c r="G143" s="42">
        <f t="shared" si="19"/>
        <v>2.5680362326754808E-06</v>
      </c>
    </row>
    <row r="144" spans="2:7" ht="12.75">
      <c r="B144" s="32">
        <f t="shared" si="16"/>
        <v>4.760000000000003</v>
      </c>
      <c r="C144" s="37">
        <f t="shared" si="20"/>
        <v>0.6725581743305715</v>
      </c>
      <c r="D144" s="38">
        <f t="shared" si="17"/>
        <v>0.002245601170459466</v>
      </c>
      <c r="E144" s="39">
        <v>0.001244421011599545</v>
      </c>
      <c r="F144" s="41">
        <f t="shared" si="18"/>
        <v>0.7882026910937703</v>
      </c>
      <c r="G144" s="42">
        <f t="shared" si="19"/>
        <v>2.202611359637199E-06</v>
      </c>
    </row>
    <row r="145" spans="2:7" ht="12.75">
      <c r="B145" s="32">
        <f t="shared" si="16"/>
        <v>4.800000000000003</v>
      </c>
      <c r="C145" s="37">
        <f t="shared" si="20"/>
        <v>0.6703200460356351</v>
      </c>
      <c r="D145" s="38">
        <f t="shared" si="17"/>
        <v>0.0022381282949364145</v>
      </c>
      <c r="E145" s="39">
        <v>0.0010403626686485527</v>
      </c>
      <c r="F145" s="41">
        <f t="shared" si="18"/>
        <v>0.7866278610665532</v>
      </c>
      <c r="G145" s="42">
        <f t="shared" si="19"/>
        <v>1.831635541395789E-06</v>
      </c>
    </row>
    <row r="146" spans="2:7" ht="12.75">
      <c r="B146" s="32">
        <f t="shared" si="16"/>
        <v>4.840000000000003</v>
      </c>
      <c r="C146" s="37">
        <f t="shared" si="20"/>
        <v>0.6680893657481065</v>
      </c>
      <c r="D146" s="38">
        <f t="shared" si="17"/>
        <v>0.002230680287528597</v>
      </c>
      <c r="E146" s="39">
        <v>0.0008269999141319803</v>
      </c>
      <c r="F146" s="41">
        <f t="shared" si="18"/>
        <v>0.7850561775518293</v>
      </c>
      <c r="G146" s="42">
        <f t="shared" si="19"/>
        <v>1.448249973697475E-06</v>
      </c>
    </row>
    <row r="147" spans="2:7" ht="12.75">
      <c r="B147" s="32">
        <f t="shared" si="16"/>
        <v>4.8800000000000034</v>
      </c>
      <c r="C147" s="37">
        <f t="shared" si="20"/>
        <v>0.6658661086826262</v>
      </c>
      <c r="D147" s="38">
        <f t="shared" si="17"/>
        <v>0.002223257065480322</v>
      </c>
      <c r="E147" s="39">
        <v>0.0006187606718551699</v>
      </c>
      <c r="F147" s="41">
        <f t="shared" si="18"/>
        <v>0.7834876342628624</v>
      </c>
      <c r="G147" s="42">
        <f t="shared" si="19"/>
        <v>1.0778157607483672E-06</v>
      </c>
    </row>
    <row r="148" spans="2:7" ht="12.75">
      <c r="B148" s="32">
        <f t="shared" si="16"/>
        <v>4.9200000000000035</v>
      </c>
      <c r="C148" s="37">
        <f t="shared" si="20"/>
        <v>0.6636502501363151</v>
      </c>
      <c r="D148" s="38">
        <f t="shared" si="17"/>
        <v>0.0022158585463111224</v>
      </c>
      <c r="E148" s="39">
        <v>0.00041477574576805846</v>
      </c>
      <c r="F148" s="41">
        <f t="shared" si="18"/>
        <v>0.7819222249254771</v>
      </c>
      <c r="G148" s="42">
        <f t="shared" si="19"/>
        <v>7.186525041348185E-07</v>
      </c>
    </row>
    <row r="149" spans="2:7" ht="12.75">
      <c r="B149" s="32">
        <f t="shared" si="16"/>
        <v>4.9600000000000035</v>
      </c>
      <c r="C149" s="37">
        <f t="shared" si="20"/>
        <v>0.6614417654884999</v>
      </c>
      <c r="D149" s="38">
        <f t="shared" si="17"/>
        <v>0.002208484647815201</v>
      </c>
      <c r="E149" s="39">
        <v>0.00021215093601144753</v>
      </c>
      <c r="F149" s="41">
        <f t="shared" si="18"/>
        <v>0.7803599432780342</v>
      </c>
      <c r="G149" s="42">
        <f t="shared" si="19"/>
        <v>3.656236714313188E-07</v>
      </c>
    </row>
    <row r="150" spans="2:7" ht="13.5" thickBot="1">
      <c r="B150" s="43">
        <f t="shared" si="16"/>
        <v>5.0000000000000036</v>
      </c>
      <c r="C150" s="44">
        <f t="shared" si="20"/>
        <v>0.6592406302004394</v>
      </c>
      <c r="D150" s="45">
        <f t="shared" si="17"/>
        <v>0.0022011352880604296</v>
      </c>
      <c r="E150" s="40">
        <v>0.000212150936011451</v>
      </c>
      <c r="F150" s="46">
        <f t="shared" si="18"/>
        <v>0.7788007830714048</v>
      </c>
      <c r="G150" s="47">
        <f t="shared" si="19"/>
        <v>3.6367886926604094E-07</v>
      </c>
    </row>
    <row r="151" spans="2:7" ht="12.75">
      <c r="B151" s="48"/>
      <c r="C151" s="49"/>
      <c r="D151" s="38"/>
      <c r="E151" s="50"/>
      <c r="F151" s="51"/>
      <c r="G151" s="52"/>
    </row>
    <row r="152" spans="2:7" ht="12.75">
      <c r="B152" s="48"/>
      <c r="C152" s="49"/>
      <c r="D152" s="38"/>
      <c r="E152" s="50"/>
      <c r="F152" s="51"/>
      <c r="G152" s="52"/>
    </row>
    <row r="153" spans="2:7" ht="12.75">
      <c r="B153" s="48"/>
      <c r="C153" s="49"/>
      <c r="D153" s="38"/>
      <c r="E153" s="50"/>
      <c r="F153" s="51"/>
      <c r="G153" s="52"/>
    </row>
    <row r="154" spans="2:7" ht="12.75">
      <c r="B154" s="48"/>
      <c r="C154" s="49"/>
      <c r="D154" s="38"/>
      <c r="E154" s="50"/>
      <c r="F154" s="51"/>
      <c r="G154" s="52"/>
    </row>
    <row r="155" spans="2:7" ht="12.75">
      <c r="B155" s="48"/>
      <c r="C155" s="49"/>
      <c r="D155" s="38"/>
      <c r="E155" s="50"/>
      <c r="F155" s="51"/>
      <c r="G155" s="52"/>
    </row>
    <row r="156" spans="2:7" ht="12.75">
      <c r="B156" s="48"/>
      <c r="C156" s="49"/>
      <c r="D156" s="38"/>
      <c r="E156" s="50"/>
      <c r="F156" s="51"/>
      <c r="G156" s="52"/>
    </row>
    <row r="157" spans="2:7" ht="12.75">
      <c r="B157" s="48"/>
      <c r="C157" s="49"/>
      <c r="D157" s="38"/>
      <c r="E157" s="50"/>
      <c r="F157" s="51"/>
      <c r="G157" s="52"/>
    </row>
    <row r="158" spans="2:7" ht="12.75">
      <c r="B158" s="48"/>
      <c r="C158" s="49"/>
      <c r="D158" s="38"/>
      <c r="E158" s="50"/>
      <c r="F158" s="51"/>
      <c r="G158" s="52"/>
    </row>
    <row r="159" spans="2:7" ht="12.75">
      <c r="B159" s="48"/>
      <c r="C159" s="49"/>
      <c r="D159" s="38"/>
      <c r="E159" s="50"/>
      <c r="F159" s="51"/>
      <c r="G159" s="52"/>
    </row>
    <row r="160" spans="2:7" ht="12.75">
      <c r="B160" s="48"/>
      <c r="C160" s="49"/>
      <c r="D160" s="38"/>
      <c r="E160" s="50"/>
      <c r="F160" s="51"/>
      <c r="G160" s="52"/>
    </row>
    <row r="161" spans="2:7" ht="12.75">
      <c r="B161" s="48"/>
      <c r="C161" s="49"/>
      <c r="D161" s="38"/>
      <c r="E161" s="50"/>
      <c r="F161" s="51"/>
      <c r="G161" s="52"/>
    </row>
    <row r="162" spans="2:7" ht="12.75">
      <c r="B162" s="48"/>
      <c r="C162" s="49"/>
      <c r="D162" s="38"/>
      <c r="E162" s="50"/>
      <c r="F162" s="51"/>
      <c r="G162" s="52"/>
    </row>
    <row r="163" spans="2:7" ht="12.75">
      <c r="B163" s="48"/>
      <c r="C163" s="49"/>
      <c r="D163" s="38"/>
      <c r="E163" s="50"/>
      <c r="F163" s="51"/>
      <c r="G163" s="52"/>
    </row>
    <row r="164" spans="2:7" ht="12.75">
      <c r="B164" s="48"/>
      <c r="C164" s="49"/>
      <c r="D164" s="38"/>
      <c r="E164" s="50"/>
      <c r="F164" s="51"/>
      <c r="G164" s="52"/>
    </row>
    <row r="165" spans="2:7" ht="12.75">
      <c r="B165" s="48"/>
      <c r="C165" s="49"/>
      <c r="D165" s="38"/>
      <c r="E165" s="50"/>
      <c r="F165" s="51"/>
      <c r="G165" s="52"/>
    </row>
    <row r="166" spans="2:7" ht="12.75">
      <c r="B166" s="48"/>
      <c r="C166" s="49"/>
      <c r="D166" s="38"/>
      <c r="E166" s="50"/>
      <c r="F166" s="51"/>
      <c r="G166" s="52"/>
    </row>
    <row r="167" spans="2:7" ht="12.75">
      <c r="B167" s="48"/>
      <c r="C167" s="49"/>
      <c r="D167" s="38"/>
      <c r="E167" s="50"/>
      <c r="F167" s="51"/>
      <c r="G167" s="52"/>
    </row>
    <row r="168" spans="2:7" ht="12.75">
      <c r="B168" s="48"/>
      <c r="C168" s="49"/>
      <c r="D168" s="38"/>
      <c r="E168" s="50"/>
      <c r="F168" s="51"/>
      <c r="G168" s="52"/>
    </row>
    <row r="169" spans="2:7" ht="12.75">
      <c r="B169" s="48"/>
      <c r="C169" s="49"/>
      <c r="D169" s="38"/>
      <c r="E169" s="50"/>
      <c r="F169" s="51"/>
      <c r="G169" s="52"/>
    </row>
    <row r="170" spans="2:7" ht="12.75">
      <c r="B170" s="48"/>
      <c r="C170" s="49"/>
      <c r="D170" s="38"/>
      <c r="E170" s="50"/>
      <c r="F170" s="51"/>
      <c r="G170" s="52"/>
    </row>
    <row r="171" spans="2:7" ht="12.75">
      <c r="B171" s="48"/>
      <c r="C171" s="49"/>
      <c r="D171" s="38"/>
      <c r="E171" s="50"/>
      <c r="F171" s="51"/>
      <c r="G171" s="52"/>
    </row>
    <row r="172" spans="2:7" ht="12.75">
      <c r="B172" s="48"/>
      <c r="C172" s="49"/>
      <c r="D172" s="38"/>
      <c r="E172" s="50"/>
      <c r="F172" s="51"/>
      <c r="G172" s="52"/>
    </row>
    <row r="173" spans="2:7" ht="12.75">
      <c r="B173" s="48"/>
      <c r="C173" s="49"/>
      <c r="D173" s="38"/>
      <c r="E173" s="50"/>
      <c r="F173" s="51"/>
      <c r="G173" s="52"/>
    </row>
    <row r="174" spans="2:7" ht="12.75">
      <c r="B174" s="48"/>
      <c r="C174" s="49"/>
      <c r="D174" s="38"/>
      <c r="E174" s="50"/>
      <c r="F174" s="51"/>
      <c r="G174" s="52"/>
    </row>
    <row r="175" spans="2:7" ht="12.75">
      <c r="B175" s="48"/>
      <c r="C175" s="49"/>
      <c r="D175" s="38"/>
      <c r="E175" s="50"/>
      <c r="F175" s="51"/>
      <c r="G175" s="52"/>
    </row>
    <row r="176" spans="2:7" ht="12.75">
      <c r="B176" s="48"/>
      <c r="C176" s="49"/>
      <c r="D176" s="38"/>
      <c r="E176" s="50"/>
      <c r="F176" s="51"/>
      <c r="G176" s="52"/>
    </row>
    <row r="177" spans="2:7" ht="12.75">
      <c r="B177" s="48"/>
      <c r="C177" s="49"/>
      <c r="D177" s="38"/>
      <c r="E177" s="50"/>
      <c r="F177" s="51"/>
      <c r="G177" s="52"/>
    </row>
    <row r="178" spans="2:7" ht="12.75">
      <c r="B178" s="48"/>
      <c r="C178" s="49"/>
      <c r="D178" s="38"/>
      <c r="E178" s="50"/>
      <c r="F178" s="51"/>
      <c r="G178" s="52"/>
    </row>
    <row r="179" spans="2:7" ht="12.75">
      <c r="B179" s="48"/>
      <c r="C179" s="49"/>
      <c r="D179" s="38"/>
      <c r="E179" s="50"/>
      <c r="F179" s="51"/>
      <c r="G179" s="52"/>
    </row>
    <row r="180" spans="2:7" ht="12.75">
      <c r="B180" s="48"/>
      <c r="C180" s="49"/>
      <c r="D180" s="38"/>
      <c r="E180" s="50"/>
      <c r="F180" s="51"/>
      <c r="G180" s="52"/>
    </row>
    <row r="181" spans="2:7" ht="12.75">
      <c r="B181" s="48"/>
      <c r="C181" s="49"/>
      <c r="D181" s="38"/>
      <c r="E181" s="50"/>
      <c r="F181" s="51"/>
      <c r="G181" s="52"/>
    </row>
    <row r="182" spans="2:7" ht="12.75">
      <c r="B182" s="48"/>
      <c r="C182" s="49"/>
      <c r="D182" s="38"/>
      <c r="E182" s="50"/>
      <c r="F182" s="51"/>
      <c r="G182" s="52"/>
    </row>
    <row r="183" spans="2:7" ht="12.75">
      <c r="B183" s="48"/>
      <c r="C183" s="49"/>
      <c r="D183" s="38"/>
      <c r="E183" s="50"/>
      <c r="F183" s="51"/>
      <c r="G183" s="52"/>
    </row>
    <row r="184" spans="2:7" ht="12.75">
      <c r="B184" s="48"/>
      <c r="C184" s="49"/>
      <c r="D184" s="38"/>
      <c r="E184" s="50"/>
      <c r="F184" s="51"/>
      <c r="G184" s="52"/>
    </row>
    <row r="185" spans="2:7" ht="12.75">
      <c r="B185" s="48"/>
      <c r="C185" s="49"/>
      <c r="D185" s="38"/>
      <c r="E185" s="50"/>
      <c r="F185" s="51"/>
      <c r="G185" s="52"/>
    </row>
    <row r="186" spans="2:7" ht="12.75">
      <c r="B186" s="48"/>
      <c r="C186" s="49"/>
      <c r="D186" s="38"/>
      <c r="E186" s="50"/>
      <c r="F186" s="51"/>
      <c r="G186" s="52"/>
    </row>
    <row r="187" spans="2:7" ht="12.75">
      <c r="B187" s="48"/>
      <c r="C187" s="49"/>
      <c r="D187" s="38"/>
      <c r="E187" s="50"/>
      <c r="F187" s="51"/>
      <c r="G187" s="52"/>
    </row>
    <row r="188" spans="2:7" ht="12.75">
      <c r="B188" s="48"/>
      <c r="C188" s="49"/>
      <c r="D188" s="38"/>
      <c r="E188" s="50"/>
      <c r="F188" s="51"/>
      <c r="G188" s="52"/>
    </row>
    <row r="189" spans="2:7" ht="12.75">
      <c r="B189" s="48"/>
      <c r="C189" s="49"/>
      <c r="D189" s="38"/>
      <c r="E189" s="50"/>
      <c r="F189" s="51"/>
      <c r="G189" s="52"/>
    </row>
    <row r="190" spans="2:7" ht="12.75">
      <c r="B190" s="48"/>
      <c r="C190" s="49"/>
      <c r="D190" s="38"/>
      <c r="E190" s="50"/>
      <c r="F190" s="51"/>
      <c r="G190" s="52"/>
    </row>
    <row r="191" spans="2:7" ht="12.75">
      <c r="B191" s="48"/>
      <c r="C191" s="49"/>
      <c r="D191" s="38"/>
      <c r="E191" s="50"/>
      <c r="F191" s="51"/>
      <c r="G191" s="52"/>
    </row>
    <row r="192" spans="2:7" ht="12.75">
      <c r="B192" s="48"/>
      <c r="C192" s="49"/>
      <c r="D192" s="38"/>
      <c r="E192" s="50"/>
      <c r="F192" s="51"/>
      <c r="G192" s="52"/>
    </row>
    <row r="193" spans="2:7" ht="12.75">
      <c r="B193" s="48"/>
      <c r="C193" s="49"/>
      <c r="D193" s="38"/>
      <c r="E193" s="50"/>
      <c r="F193" s="51"/>
      <c r="G193" s="52"/>
    </row>
    <row r="194" spans="2:7" ht="12.75">
      <c r="B194" s="48"/>
      <c r="C194" s="49"/>
      <c r="D194" s="38"/>
      <c r="E194" s="50"/>
      <c r="F194" s="51"/>
      <c r="G194" s="52"/>
    </row>
    <row r="195" spans="2:7" ht="12.75">
      <c r="B195" s="48"/>
      <c r="C195" s="49"/>
      <c r="D195" s="38"/>
      <c r="E195" s="50"/>
      <c r="F195" s="51"/>
      <c r="G195" s="52"/>
    </row>
  </sheetData>
  <sheetProtection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2" max="2" width="21.140625" style="0" bestFit="1" customWidth="1"/>
    <col min="3" max="3" width="13.8515625" style="0" bestFit="1" customWidth="1"/>
    <col min="4" max="4" width="12.00390625" style="0" bestFit="1" customWidth="1"/>
    <col min="5" max="5" width="13.57421875" style="0" customWidth="1"/>
    <col min="6" max="6" width="12.7109375" style="0" bestFit="1" customWidth="1"/>
    <col min="8" max="8" width="12.8515625" style="0" customWidth="1"/>
    <col min="9" max="9" width="10.57421875" style="0" bestFit="1" customWidth="1"/>
    <col min="10" max="10" width="7.2812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ht="13.5" thickBot="1"/>
    <row r="10" spans="2:7" ht="13.5" thickBot="1">
      <c r="B10" s="19" t="s">
        <v>0</v>
      </c>
      <c r="C10" s="93"/>
      <c r="G10" s="17"/>
    </row>
    <row r="11" spans="2:8" ht="12.75">
      <c r="B11" s="3" t="s">
        <v>43</v>
      </c>
      <c r="C11" s="13">
        <v>0.4</v>
      </c>
      <c r="G11" s="17"/>
      <c r="H11" s="8"/>
    </row>
    <row r="12" spans="2:3" ht="12.75">
      <c r="B12" s="4" t="s">
        <v>42</v>
      </c>
      <c r="C12" s="85">
        <v>0.4</v>
      </c>
    </row>
    <row r="13" spans="2:12" ht="12.75">
      <c r="B13" s="22" t="s">
        <v>4</v>
      </c>
      <c r="C13" s="94">
        <v>0.05</v>
      </c>
      <c r="G13" s="17"/>
      <c r="H13" s="8"/>
      <c r="L13" s="10"/>
    </row>
    <row r="14" spans="2:12" ht="12.75">
      <c r="B14" s="4" t="s">
        <v>52</v>
      </c>
      <c r="C14" s="83">
        <v>500</v>
      </c>
      <c r="L14" s="10"/>
    </row>
    <row r="15" spans="2:12" ht="13.5" thickBot="1">
      <c r="B15" s="18" t="s">
        <v>51</v>
      </c>
      <c r="C15" s="95">
        <v>500</v>
      </c>
      <c r="L15" s="10"/>
    </row>
    <row r="16" spans="4:12" ht="13.5" thickBot="1">
      <c r="D16" s="2"/>
      <c r="L16" s="10"/>
    </row>
    <row r="17" spans="2:12" ht="13.5" thickBot="1">
      <c r="B17" s="19" t="s">
        <v>8</v>
      </c>
      <c r="C17" s="20"/>
      <c r="E17" s="15" t="s">
        <v>5</v>
      </c>
      <c r="F17" s="16"/>
      <c r="H17" s="15" t="s">
        <v>55</v>
      </c>
      <c r="I17" s="16"/>
      <c r="L17" s="10"/>
    </row>
    <row r="18" spans="2:12" ht="12.75">
      <c r="B18" s="3" t="s">
        <v>9</v>
      </c>
      <c r="C18" s="28">
        <f>(1-CntrptyRec)*SUMPRODUCT(E27:E151,D27:D151,G27:G151,I27:I151)</f>
        <v>0.0007054765558452688</v>
      </c>
      <c r="E18" s="22" t="s">
        <v>2</v>
      </c>
      <c r="F18" s="23">
        <f>AVERAGE(G27:G151)</f>
        <v>0.004726028897613117</v>
      </c>
      <c r="H18" s="22" t="s">
        <v>57</v>
      </c>
      <c r="I18" s="29">
        <f>(1-EXP(-(SpreadCntrpty/10000/(1-CntrptyRec)+IRate)*5))/(SpreadCntrpty/10000/(1-CntrptyRec)+IRate)</f>
        <v>3.649371607255559</v>
      </c>
      <c r="L18" s="10"/>
    </row>
    <row r="19" spans="2:12" ht="12.75">
      <c r="B19" s="22" t="s">
        <v>44</v>
      </c>
      <c r="C19" s="57">
        <f>(1-InstitutionRecovery)*SUMPRODUCT(F27:F151,C27:C151,H27:H151,I27:I151)</f>
        <v>0.0005525330549935502</v>
      </c>
      <c r="E19" s="22" t="s">
        <v>59</v>
      </c>
      <c r="F19" s="84">
        <f>EPE*SpreadCntrpty</f>
        <v>2.3630144488065583</v>
      </c>
      <c r="H19" s="22" t="s">
        <v>59</v>
      </c>
      <c r="I19" s="84">
        <f>C18/I18*10000</f>
        <v>1.9331452966934466</v>
      </c>
      <c r="L19" s="10"/>
    </row>
    <row r="20" spans="2:12" ht="13.5" thickBot="1">
      <c r="B20" s="18" t="s">
        <v>53</v>
      </c>
      <c r="C20" s="96">
        <f>C18-C19</f>
        <v>0.0001529435008517186</v>
      </c>
      <c r="D20" s="2"/>
      <c r="E20" s="22" t="s">
        <v>41</v>
      </c>
      <c r="F20" s="86">
        <f>AVERAGE(H27:H151)</f>
        <v>-0.003702284663578512</v>
      </c>
      <c r="G20" s="24"/>
      <c r="H20" s="22" t="s">
        <v>58</v>
      </c>
      <c r="I20" s="84">
        <f>(1-EXP(-(SpreadInstitution/10000/(1-InstitutionRecovery)+IRate)*5))/(SpreadInstitution/10000/(1-InstitutionRecovery)+IRate)</f>
        <v>3.649371607255559</v>
      </c>
      <c r="L20" s="10"/>
    </row>
    <row r="21" spans="5:12" ht="12.75">
      <c r="E21" s="91" t="s">
        <v>60</v>
      </c>
      <c r="F21" s="92">
        <f>ENE*SpreadInstitution</f>
        <v>-1.8511423317892561</v>
      </c>
      <c r="G21" s="52"/>
      <c r="H21" s="91" t="s">
        <v>60</v>
      </c>
      <c r="I21" s="92">
        <f>C19/I20*10000</f>
        <v>1.5140498542133183</v>
      </c>
      <c r="L21" s="10"/>
    </row>
    <row r="22" spans="5:9" ht="13.5" thickBot="1">
      <c r="E22" s="18" t="s">
        <v>53</v>
      </c>
      <c r="F22" s="30">
        <f>CVAApprox+DVAApprox</f>
        <v>0.5118721170173022</v>
      </c>
      <c r="H22" s="18" t="s">
        <v>53</v>
      </c>
      <c r="I22" s="30">
        <f>I19-I21</f>
        <v>0.4190954424801283</v>
      </c>
    </row>
    <row r="23" ht="12.75">
      <c r="L23" s="10"/>
    </row>
    <row r="24" ht="13.5" thickBot="1">
      <c r="L24" s="10"/>
    </row>
    <row r="25" spans="2:10" ht="13.5" thickBot="1">
      <c r="B25" s="11"/>
      <c r="C25" s="12" t="s">
        <v>11</v>
      </c>
      <c r="D25" s="12" t="s">
        <v>56</v>
      </c>
      <c r="E25" s="12" t="s">
        <v>50</v>
      </c>
      <c r="F25" s="31" t="s">
        <v>54</v>
      </c>
      <c r="G25" s="12" t="s">
        <v>1</v>
      </c>
      <c r="H25" s="31" t="s">
        <v>45</v>
      </c>
      <c r="I25" s="12" t="s">
        <v>12</v>
      </c>
      <c r="J25" s="16" t="s">
        <v>9</v>
      </c>
    </row>
    <row r="26" spans="2:10" ht="12.75">
      <c r="B26" s="32">
        <v>0</v>
      </c>
      <c r="C26" s="37">
        <f>EXP(-B26*IntensityCntrpty)</f>
        <v>1</v>
      </c>
      <c r="D26" s="88">
        <v>1</v>
      </c>
      <c r="E26" s="70"/>
      <c r="F26" s="9"/>
      <c r="G26" s="39"/>
      <c r="H26" s="9"/>
      <c r="I26" s="70"/>
      <c r="J26" s="36"/>
    </row>
    <row r="27" spans="2:10" ht="12.75">
      <c r="B27" s="32">
        <f>B26+0.04</f>
        <v>0.04</v>
      </c>
      <c r="C27" s="37">
        <f>C26*EXP(-(B27-B26)*SpreadCntrpty/10000/(1-CntrptyRec))</f>
        <v>0.9966722160545233</v>
      </c>
      <c r="D27" s="89">
        <f aca="true" t="shared" si="0" ref="D27:D58">D26*EXP(-(B27-B26)*SpreadInstitution/10000/(1-InstitutionRecovery))</f>
        <v>0.9966722160545233</v>
      </c>
      <c r="E27" s="88">
        <f aca="true" t="shared" si="1" ref="E27:E58">C26-C27</f>
        <v>0.0033277839454767255</v>
      </c>
      <c r="F27" s="38">
        <f>D27-D26</f>
        <v>-0.0033277839454767255</v>
      </c>
      <c r="G27" s="39">
        <v>0.0002205003733712291</v>
      </c>
      <c r="H27" s="61">
        <v>-0.00017462529988008656</v>
      </c>
      <c r="I27" s="41">
        <f aca="true" t="shared" si="2" ref="I27:I58">EXP(-IRate*B27)</f>
        <v>0.9980019986673331</v>
      </c>
      <c r="J27" s="42">
        <f aca="true" t="shared" si="3" ref="J27:J58">E27*G27*I27</f>
        <v>7.32311513848771E-07</v>
      </c>
    </row>
    <row r="28" spans="2:10" ht="12.75">
      <c r="B28" s="32">
        <f>B27+0.04</f>
        <v>0.08</v>
      </c>
      <c r="C28" s="37">
        <f aca="true" t="shared" si="4" ref="C28:C58">C27*EXP(-(B28-B27)*SpreadCntrpty/10000/(1-CntrptyRec))</f>
        <v>0.9933555062550343</v>
      </c>
      <c r="D28" s="89">
        <f t="shared" si="0"/>
        <v>0.9933555062550343</v>
      </c>
      <c r="E28" s="88">
        <f t="shared" si="1"/>
        <v>0.0033167097994889483</v>
      </c>
      <c r="F28" s="38">
        <f aca="true" t="shared" si="5" ref="F28:F91">D28-D27</f>
        <v>-0.0033167097994889483</v>
      </c>
      <c r="G28" s="39">
        <v>0.00044236221264193907</v>
      </c>
      <c r="H28" s="61">
        <v>-0.00034496365812261657</v>
      </c>
      <c r="I28" s="41">
        <f t="shared" si="2"/>
        <v>0.9960079893439915</v>
      </c>
      <c r="J28" s="42">
        <f t="shared" si="3"/>
        <v>1.4613300591130873E-06</v>
      </c>
    </row>
    <row r="29" spans="2:10" ht="12.75">
      <c r="B29" s="32">
        <f>B28+0.04</f>
        <v>0.12</v>
      </c>
      <c r="C29" s="37">
        <f t="shared" si="4"/>
        <v>0.9900498337491679</v>
      </c>
      <c r="D29" s="89">
        <f t="shared" si="0"/>
        <v>0.9900498337491679</v>
      </c>
      <c r="E29" s="88">
        <f t="shared" si="1"/>
        <v>0.0033056725058664416</v>
      </c>
      <c r="F29" s="38">
        <f t="shared" si="5"/>
        <v>-0.0033056725058664416</v>
      </c>
      <c r="G29" s="39">
        <v>0.0006668485128685554</v>
      </c>
      <c r="H29" s="61">
        <v>-0.0005332252303935505</v>
      </c>
      <c r="I29" s="41">
        <f t="shared" si="2"/>
        <v>0.9940179640539353</v>
      </c>
      <c r="J29" s="42">
        <f t="shared" si="3"/>
        <v>2.191196097451518E-06</v>
      </c>
    </row>
    <row r="30" spans="2:10" ht="12.75">
      <c r="B30" s="32">
        <f>B29+0.04</f>
        <v>0.16</v>
      </c>
      <c r="C30" s="37">
        <f t="shared" si="4"/>
        <v>0.9867551618071955</v>
      </c>
      <c r="D30" s="89">
        <f t="shared" si="0"/>
        <v>0.9867551618071955</v>
      </c>
      <c r="E30" s="88">
        <f t="shared" si="1"/>
        <v>0.0032946719419724158</v>
      </c>
      <c r="F30" s="38">
        <f t="shared" si="5"/>
        <v>-0.0032946719419724158</v>
      </c>
      <c r="G30" s="39">
        <v>0.0008870972042832842</v>
      </c>
      <c r="H30" s="61">
        <v>-0.0006847808790027169</v>
      </c>
      <c r="I30" s="41">
        <f t="shared" si="2"/>
        <v>0.9920319148370607</v>
      </c>
      <c r="J30" s="42">
        <f t="shared" si="3"/>
        <v>2.8994059919156396E-06</v>
      </c>
    </row>
    <row r="31" spans="2:10" ht="12.75">
      <c r="B31" s="32">
        <f aca="true" t="shared" si="6" ref="B31:B94">B30+0.04</f>
        <v>0.2</v>
      </c>
      <c r="C31" s="37">
        <f t="shared" si="4"/>
        <v>0.9834714538216172</v>
      </c>
      <c r="D31" s="89">
        <f t="shared" si="0"/>
        <v>0.9834714538216172</v>
      </c>
      <c r="E31" s="88">
        <f t="shared" si="1"/>
        <v>0.0032837079855783102</v>
      </c>
      <c r="F31" s="38">
        <f t="shared" si="5"/>
        <v>-0.0032837079855783102</v>
      </c>
      <c r="G31" s="39">
        <v>0.0011088765306023994</v>
      </c>
      <c r="H31" s="61">
        <v>-0.0008591606170435132</v>
      </c>
      <c r="I31" s="41">
        <f t="shared" si="2"/>
        <v>0.9900498337491681</v>
      </c>
      <c r="J31" s="42">
        <f t="shared" si="3"/>
        <v>3.6049959073528327E-06</v>
      </c>
    </row>
    <row r="32" spans="2:10" ht="12.75">
      <c r="B32" s="32">
        <f t="shared" si="6"/>
        <v>0.24000000000000002</v>
      </c>
      <c r="C32" s="37">
        <f t="shared" si="4"/>
        <v>0.9801986733067549</v>
      </c>
      <c r="D32" s="89">
        <f t="shared" si="0"/>
        <v>0.9801986733067549</v>
      </c>
      <c r="E32" s="88">
        <f t="shared" si="1"/>
        <v>0.003272780514862239</v>
      </c>
      <c r="F32" s="38">
        <f t="shared" si="5"/>
        <v>-0.003272780514862239</v>
      </c>
      <c r="G32" s="39">
        <v>0.0013325901037198342</v>
      </c>
      <c r="H32" s="61">
        <v>-0.0010264354900368976</v>
      </c>
      <c r="I32" s="41">
        <f t="shared" si="2"/>
        <v>0.9880717128619305</v>
      </c>
      <c r="J32" s="42">
        <f t="shared" si="3"/>
        <v>4.309252386150084E-06</v>
      </c>
    </row>
    <row r="33" spans="2:10" ht="12.75">
      <c r="B33" s="32">
        <f t="shared" si="6"/>
        <v>0.28</v>
      </c>
      <c r="C33" s="37">
        <f t="shared" si="4"/>
        <v>0.9769367838983471</v>
      </c>
      <c r="D33" s="89">
        <f t="shared" si="0"/>
        <v>0.9769367838983471</v>
      </c>
      <c r="E33" s="88">
        <f t="shared" si="1"/>
        <v>0.00326188940840777</v>
      </c>
      <c r="F33" s="38">
        <f t="shared" si="5"/>
        <v>-0.00326188940840777</v>
      </c>
      <c r="G33" s="39">
        <v>0.00156177654983027</v>
      </c>
      <c r="H33" s="61">
        <v>-0.0012393878439592512</v>
      </c>
      <c r="I33" s="41">
        <f t="shared" si="2"/>
        <v>0.9860975442628619</v>
      </c>
      <c r="J33" s="42">
        <f t="shared" si="3"/>
        <v>5.02351851665714E-06</v>
      </c>
    </row>
    <row r="34" spans="2:10" ht="12.75">
      <c r="B34" s="32">
        <f t="shared" si="6"/>
        <v>0.32</v>
      </c>
      <c r="C34" s="37">
        <f t="shared" si="4"/>
        <v>0.9736857493531446</v>
      </c>
      <c r="D34" s="89">
        <f t="shared" si="0"/>
        <v>0.9736857493531446</v>
      </c>
      <c r="E34" s="88">
        <f t="shared" si="1"/>
        <v>0.0032510345452025913</v>
      </c>
      <c r="F34" s="38">
        <f t="shared" si="5"/>
        <v>-0.0032510345452025913</v>
      </c>
      <c r="G34" s="39">
        <v>0.0017823213469090118</v>
      </c>
      <c r="H34" s="61">
        <v>-0.0014172967676165816</v>
      </c>
      <c r="I34" s="41">
        <f t="shared" si="2"/>
        <v>0.9841273200552851</v>
      </c>
      <c r="J34" s="42">
        <f t="shared" si="3"/>
        <v>5.702415798976768E-06</v>
      </c>
    </row>
    <row r="35" spans="2:10" ht="12.75">
      <c r="B35" s="32">
        <f t="shared" si="6"/>
        <v>0.36</v>
      </c>
      <c r="C35" s="37">
        <f t="shared" si="4"/>
        <v>0.9704455335485077</v>
      </c>
      <c r="D35" s="89">
        <f t="shared" si="0"/>
        <v>0.9704455335485077</v>
      </c>
      <c r="E35" s="88">
        <f t="shared" si="1"/>
        <v>0.003240215804636848</v>
      </c>
      <c r="F35" s="38">
        <f t="shared" si="5"/>
        <v>-0.003240215804636848</v>
      </c>
      <c r="G35" s="39">
        <v>0.0019920373661790145</v>
      </c>
      <c r="H35" s="61">
        <v>-0.0015397774919882596</v>
      </c>
      <c r="I35" s="41">
        <f t="shared" si="2"/>
        <v>0.9821610323583008</v>
      </c>
      <c r="J35" s="42">
        <f t="shared" si="3"/>
        <v>6.3394870045336535E-06</v>
      </c>
    </row>
    <row r="36" spans="2:10" ht="12.75">
      <c r="B36" s="32">
        <f t="shared" si="6"/>
        <v>0.39999999999999997</v>
      </c>
      <c r="C36" s="37">
        <f t="shared" si="4"/>
        <v>0.9672161004820053</v>
      </c>
      <c r="D36" s="89">
        <f t="shared" si="0"/>
        <v>0.9672161004820053</v>
      </c>
      <c r="E36" s="88">
        <f t="shared" si="1"/>
        <v>0.003229433066502363</v>
      </c>
      <c r="F36" s="38">
        <f t="shared" si="5"/>
        <v>-0.003229433066502363</v>
      </c>
      <c r="G36" s="39">
        <v>0.002186875972940025</v>
      </c>
      <c r="H36" s="61">
        <v>-0.0017407021235553303</v>
      </c>
      <c r="I36" s="41">
        <f t="shared" si="2"/>
        <v>0.9801986733067553</v>
      </c>
      <c r="J36" s="42">
        <f t="shared" si="3"/>
        <v>6.92252529208286E-06</v>
      </c>
    </row>
    <row r="37" spans="2:10" ht="12.75">
      <c r="B37" s="32">
        <f t="shared" si="6"/>
        <v>0.43999999999999995</v>
      </c>
      <c r="C37" s="37">
        <f t="shared" si="4"/>
        <v>0.9639974142710147</v>
      </c>
      <c r="D37" s="89">
        <f t="shared" si="0"/>
        <v>0.9639974142710147</v>
      </c>
      <c r="E37" s="88">
        <f t="shared" si="1"/>
        <v>0.00321868621099064</v>
      </c>
      <c r="F37" s="38">
        <f t="shared" si="5"/>
        <v>-0.00321868621099064</v>
      </c>
      <c r="G37" s="39">
        <v>0.0023756480140929067</v>
      </c>
      <c r="H37" s="61">
        <v>-0.0018416607862598371</v>
      </c>
      <c r="I37" s="41">
        <f t="shared" si="2"/>
        <v>0.97824023505121</v>
      </c>
      <c r="J37" s="42">
        <f t="shared" si="3"/>
        <v>7.480080213047518E-06</v>
      </c>
    </row>
    <row r="38" spans="2:10" ht="12.75">
      <c r="B38" s="32">
        <f t="shared" si="6"/>
        <v>0.4799999999999999</v>
      </c>
      <c r="C38" s="37">
        <f t="shared" si="4"/>
        <v>0.9607894391523225</v>
      </c>
      <c r="D38" s="89">
        <f t="shared" si="0"/>
        <v>0.9607894391523225</v>
      </c>
      <c r="E38" s="88">
        <f t="shared" si="1"/>
        <v>0.0032079751186921968</v>
      </c>
      <c r="F38" s="38">
        <f t="shared" si="5"/>
        <v>-0.0032079751186921968</v>
      </c>
      <c r="G38" s="39">
        <v>0.0025769274175048824</v>
      </c>
      <c r="H38" s="61">
        <v>-0.0020139483934599194</v>
      </c>
      <c r="I38" s="41">
        <f t="shared" si="2"/>
        <v>0.9762857097579093</v>
      </c>
      <c r="J38" s="42">
        <f t="shared" si="3"/>
        <v>8.070679663413709E-06</v>
      </c>
    </row>
    <row r="39" spans="2:10" ht="12.75">
      <c r="B39" s="32">
        <f t="shared" si="6"/>
        <v>0.5199999999999999</v>
      </c>
      <c r="C39" s="37">
        <f t="shared" si="4"/>
        <v>0.9575921394817278</v>
      </c>
      <c r="D39" s="89">
        <f t="shared" si="0"/>
        <v>0.9575921394817278</v>
      </c>
      <c r="E39" s="88">
        <f t="shared" si="1"/>
        <v>0.0031972996705946777</v>
      </c>
      <c r="F39" s="38">
        <f t="shared" si="5"/>
        <v>-0.0031972996705946777</v>
      </c>
      <c r="G39" s="39">
        <v>0.002762963077485577</v>
      </c>
      <c r="H39" s="61">
        <v>-0.0022074687246196397</v>
      </c>
      <c r="I39" s="41">
        <f t="shared" si="2"/>
        <v>0.9743350896087494</v>
      </c>
      <c r="J39" s="42">
        <f t="shared" si="3"/>
        <v>8.60729658175427E-06</v>
      </c>
    </row>
    <row r="40" spans="2:10" ht="12.75">
      <c r="B40" s="32">
        <f t="shared" si="6"/>
        <v>0.5599999999999999</v>
      </c>
      <c r="C40" s="37">
        <f t="shared" si="4"/>
        <v>0.9544054797336459</v>
      </c>
      <c r="D40" s="89">
        <f t="shared" si="0"/>
        <v>0.9544054797336459</v>
      </c>
      <c r="E40" s="88">
        <f t="shared" si="1"/>
        <v>0.003186659748081966</v>
      </c>
      <c r="F40" s="38">
        <f t="shared" si="5"/>
        <v>-0.003186659748081966</v>
      </c>
      <c r="G40" s="39">
        <v>0.0029414195890670614</v>
      </c>
      <c r="H40" s="61">
        <v>-0.00231548090159888</v>
      </c>
      <c r="I40" s="41">
        <f t="shared" si="2"/>
        <v>0.9723883668012469</v>
      </c>
      <c r="J40" s="42">
        <f t="shared" si="3"/>
        <v>9.114491191173384E-06</v>
      </c>
    </row>
    <row r="41" spans="2:10" ht="12.75">
      <c r="B41" s="32">
        <f t="shared" si="6"/>
        <v>0.6</v>
      </c>
      <c r="C41" s="37">
        <f t="shared" si="4"/>
        <v>0.9512294245007132</v>
      </c>
      <c r="D41" s="89">
        <f t="shared" si="0"/>
        <v>0.9512294245007132</v>
      </c>
      <c r="E41" s="88">
        <f t="shared" si="1"/>
        <v>0.0031760552329326286</v>
      </c>
      <c r="F41" s="38">
        <f t="shared" si="5"/>
        <v>-0.0031760552329326286</v>
      </c>
      <c r="G41" s="39">
        <v>0.0031057438662650243</v>
      </c>
      <c r="H41" s="61">
        <v>-0.0024332676337989116</v>
      </c>
      <c r="I41" s="41">
        <f t="shared" si="2"/>
        <v>0.9704455335485082</v>
      </c>
      <c r="J41" s="42">
        <f t="shared" si="3"/>
        <v>9.572488386027523E-06</v>
      </c>
    </row>
    <row r="42" spans="2:10" ht="12.75">
      <c r="B42" s="32">
        <f t="shared" si="6"/>
        <v>0.64</v>
      </c>
      <c r="C42" s="37">
        <f t="shared" si="4"/>
        <v>0.9480639384933947</v>
      </c>
      <c r="D42" s="89">
        <f t="shared" si="0"/>
        <v>0.9480639384933947</v>
      </c>
      <c r="E42" s="88">
        <f t="shared" si="1"/>
        <v>0.0031654860073185853</v>
      </c>
      <c r="F42" s="38">
        <f t="shared" si="5"/>
        <v>-0.0031654860073185853</v>
      </c>
      <c r="G42" s="39">
        <v>0.003268674127260905</v>
      </c>
      <c r="H42" s="61">
        <v>-0.0025557177425880274</v>
      </c>
      <c r="I42" s="41">
        <f t="shared" si="2"/>
        <v>0.9685065820791976</v>
      </c>
      <c r="J42" s="42">
        <f t="shared" si="3"/>
        <v>1.0021081637033425E-05</v>
      </c>
    </row>
    <row r="43" spans="2:10" ht="12.75">
      <c r="B43" s="32">
        <f t="shared" si="6"/>
        <v>0.68</v>
      </c>
      <c r="C43" s="37">
        <f t="shared" si="4"/>
        <v>0.9449089865395909</v>
      </c>
      <c r="D43" s="89">
        <f t="shared" si="0"/>
        <v>0.9449089865395909</v>
      </c>
      <c r="E43" s="88">
        <f t="shared" si="1"/>
        <v>0.003154951953803775</v>
      </c>
      <c r="F43" s="38">
        <f t="shared" si="5"/>
        <v>-0.003154951953803775</v>
      </c>
      <c r="G43" s="39">
        <v>0.0034230178656917054</v>
      </c>
      <c r="H43" s="61">
        <v>-0.0026304367685204867</v>
      </c>
      <c r="I43" s="41">
        <f t="shared" si="2"/>
        <v>0.9665715046375066</v>
      </c>
      <c r="J43" s="42">
        <f t="shared" si="3"/>
        <v>1.043844730826089E-05</v>
      </c>
    </row>
    <row r="44" spans="2:10" ht="12.75">
      <c r="B44" s="32">
        <f t="shared" si="6"/>
        <v>0.7200000000000001</v>
      </c>
      <c r="C44" s="37">
        <f t="shared" si="4"/>
        <v>0.9417645335842477</v>
      </c>
      <c r="D44" s="89">
        <f t="shared" si="0"/>
        <v>0.9417645335842477</v>
      </c>
      <c r="E44" s="88">
        <f t="shared" si="1"/>
        <v>0.0031444529553431577</v>
      </c>
      <c r="F44" s="38">
        <f t="shared" si="5"/>
        <v>-0.0031444529553431577</v>
      </c>
      <c r="G44" s="39">
        <v>0.003575898149007763</v>
      </c>
      <c r="H44" s="61">
        <v>-0.002747483920246243</v>
      </c>
      <c r="I44" s="41">
        <f t="shared" si="2"/>
        <v>0.9646402934831231</v>
      </c>
      <c r="J44" s="42">
        <f t="shared" si="3"/>
        <v>1.0846650352395456E-05</v>
      </c>
    </row>
    <row r="45" spans="2:10" ht="12.75">
      <c r="B45" s="32">
        <f t="shared" si="6"/>
        <v>0.7600000000000001</v>
      </c>
      <c r="C45" s="37">
        <f t="shared" si="4"/>
        <v>0.9386305446889667</v>
      </c>
      <c r="D45" s="89">
        <f t="shared" si="0"/>
        <v>0.9386305446889667</v>
      </c>
      <c r="E45" s="88">
        <f t="shared" si="1"/>
        <v>0.003133988895281048</v>
      </c>
      <c r="F45" s="38">
        <f t="shared" si="5"/>
        <v>-0.003133988895281048</v>
      </c>
      <c r="G45" s="39">
        <v>0.003731045365790775</v>
      </c>
      <c r="H45" s="61">
        <v>-0.002919227356481721</v>
      </c>
      <c r="I45" s="41">
        <f t="shared" si="2"/>
        <v>0.9627129408911995</v>
      </c>
      <c r="J45" s="42">
        <f t="shared" si="3"/>
        <v>1.1257055120769496E-05</v>
      </c>
    </row>
    <row r="46" spans="2:10" ht="12.75">
      <c r="B46" s="32">
        <f t="shared" si="6"/>
        <v>0.8000000000000002</v>
      </c>
      <c r="C46" s="37">
        <f t="shared" si="4"/>
        <v>0.9355069850316167</v>
      </c>
      <c r="D46" s="89">
        <f t="shared" si="0"/>
        <v>0.9355069850316167</v>
      </c>
      <c r="E46" s="88">
        <f t="shared" si="1"/>
        <v>0.0031235596573500057</v>
      </c>
      <c r="F46" s="38">
        <f t="shared" si="5"/>
        <v>-0.0031235596573500057</v>
      </c>
      <c r="G46" s="39">
        <v>0.0038837973091841275</v>
      </c>
      <c r="H46" s="61">
        <v>-0.003051111224811186</v>
      </c>
      <c r="I46" s="41">
        <f t="shared" si="2"/>
        <v>0.9607894391523232</v>
      </c>
      <c r="J46" s="42">
        <f t="shared" si="3"/>
        <v>1.1655598590152225E-05</v>
      </c>
    </row>
    <row r="47" spans="2:10" ht="12.75">
      <c r="B47" s="32">
        <f t="shared" si="6"/>
        <v>0.8400000000000002</v>
      </c>
      <c r="C47" s="37">
        <f t="shared" si="4"/>
        <v>0.9323938199059472</v>
      </c>
      <c r="D47" s="89">
        <f t="shared" si="0"/>
        <v>0.9323938199059472</v>
      </c>
      <c r="E47" s="88">
        <f t="shared" si="1"/>
        <v>0.0031131651256695037</v>
      </c>
      <c r="F47" s="38">
        <f t="shared" si="5"/>
        <v>-0.0031131651256695037</v>
      </c>
      <c r="G47" s="39">
        <v>0.004026368500833558</v>
      </c>
      <c r="H47" s="61">
        <v>-0.0031457589766379053</v>
      </c>
      <c r="I47" s="41">
        <f t="shared" si="2"/>
        <v>0.9588697805724845</v>
      </c>
      <c r="J47" s="42">
        <f t="shared" si="3"/>
        <v>1.201919298192474E-05</v>
      </c>
    </row>
    <row r="48" spans="2:10" ht="12.75">
      <c r="B48" s="32">
        <f t="shared" si="6"/>
        <v>0.8800000000000002</v>
      </c>
      <c r="C48" s="37">
        <f t="shared" si="4"/>
        <v>0.9292910147212025</v>
      </c>
      <c r="D48" s="89">
        <f t="shared" si="0"/>
        <v>0.9292910147212025</v>
      </c>
      <c r="E48" s="88">
        <f t="shared" si="1"/>
        <v>0.003102805184744706</v>
      </c>
      <c r="F48" s="38">
        <f t="shared" si="5"/>
        <v>-0.003102805184744706</v>
      </c>
      <c r="G48" s="39">
        <v>0.004172228427990239</v>
      </c>
      <c r="H48" s="61">
        <v>-0.0032546136472674826</v>
      </c>
      <c r="I48" s="41">
        <f t="shared" si="2"/>
        <v>0.9569539574730467</v>
      </c>
      <c r="J48" s="42">
        <f t="shared" si="3"/>
        <v>1.2388354633690792E-05</v>
      </c>
    </row>
    <row r="49" spans="2:10" ht="12.75">
      <c r="B49" s="32">
        <f t="shared" si="6"/>
        <v>0.9200000000000003</v>
      </c>
      <c r="C49" s="37">
        <f t="shared" si="4"/>
        <v>0.9261985350017374</v>
      </c>
      <c r="D49" s="89">
        <f t="shared" si="0"/>
        <v>0.9261985350017374</v>
      </c>
      <c r="E49" s="88">
        <f t="shared" si="1"/>
        <v>0.0030924797194650244</v>
      </c>
      <c r="F49" s="38">
        <f t="shared" si="5"/>
        <v>-0.0030924797194650244</v>
      </c>
      <c r="G49" s="39">
        <v>0.004305403087986719</v>
      </c>
      <c r="H49" s="61">
        <v>-0.0033893869812714884</v>
      </c>
      <c r="I49" s="41">
        <f t="shared" si="2"/>
        <v>0.9550419621907146</v>
      </c>
      <c r="J49" s="42">
        <f t="shared" si="3"/>
        <v>1.2715783705909508E-05</v>
      </c>
    </row>
    <row r="50" spans="2:10" ht="12.75">
      <c r="B50" s="32">
        <f t="shared" si="6"/>
        <v>0.9600000000000003</v>
      </c>
      <c r="C50" s="37">
        <f t="shared" si="4"/>
        <v>0.9231163463866345</v>
      </c>
      <c r="D50" s="89">
        <f t="shared" si="0"/>
        <v>0.9231163463866345</v>
      </c>
      <c r="E50" s="88">
        <f t="shared" si="1"/>
        <v>0.0030821886151028988</v>
      </c>
      <c r="F50" s="38">
        <f t="shared" si="5"/>
        <v>-0.0030821886151028988</v>
      </c>
      <c r="G50" s="39">
        <v>0.004428328912928753</v>
      </c>
      <c r="H50" s="61">
        <v>-0.003402492226589001</v>
      </c>
      <c r="I50" s="41">
        <f t="shared" si="2"/>
        <v>0.9531337870775047</v>
      </c>
      <c r="J50" s="42">
        <f t="shared" si="3"/>
        <v>1.3009270598727215E-05</v>
      </c>
    </row>
    <row r="51" spans="2:10" ht="12.75">
      <c r="B51" s="32">
        <f t="shared" si="6"/>
        <v>1.0000000000000002</v>
      </c>
      <c r="C51" s="37">
        <f t="shared" si="4"/>
        <v>0.920044414629322</v>
      </c>
      <c r="D51" s="89">
        <f t="shared" si="0"/>
        <v>0.920044414629322</v>
      </c>
      <c r="E51" s="88">
        <f t="shared" si="1"/>
        <v>0.0030719317573125737</v>
      </c>
      <c r="F51" s="38">
        <f t="shared" si="5"/>
        <v>-0.0030719317573125737</v>
      </c>
      <c r="G51" s="39">
        <v>0.004547964690247746</v>
      </c>
      <c r="H51" s="61">
        <v>-0.0036246451345528633</v>
      </c>
      <c r="I51" s="41">
        <f t="shared" si="2"/>
        <v>0.951229424500714</v>
      </c>
      <c r="J51" s="42">
        <f t="shared" si="3"/>
        <v>1.328966164034159E-05</v>
      </c>
    </row>
    <row r="52" spans="2:10" ht="12.75">
      <c r="B52" s="32">
        <f t="shared" si="6"/>
        <v>1.0400000000000003</v>
      </c>
      <c r="C52" s="37">
        <f t="shared" si="4"/>
        <v>0.916982705597193</v>
      </c>
      <c r="D52" s="89">
        <f t="shared" si="0"/>
        <v>0.916982705597193</v>
      </c>
      <c r="E52" s="88">
        <f t="shared" si="1"/>
        <v>0.0030617090321289897</v>
      </c>
      <c r="F52" s="38">
        <f t="shared" si="5"/>
        <v>-0.0030617090321289897</v>
      </c>
      <c r="G52" s="39">
        <v>0.004661285163844965</v>
      </c>
      <c r="H52" s="61">
        <v>-0.0036667478561720557</v>
      </c>
      <c r="I52" s="41">
        <f t="shared" si="2"/>
        <v>0.9493288668428895</v>
      </c>
      <c r="J52" s="42">
        <f t="shared" si="3"/>
        <v>1.3548345866994288E-05</v>
      </c>
    </row>
    <row r="53" spans="2:10" ht="12.75">
      <c r="B53" s="32">
        <f t="shared" si="6"/>
        <v>1.0800000000000003</v>
      </c>
      <c r="C53" s="37">
        <f t="shared" si="4"/>
        <v>0.9139311852712269</v>
      </c>
      <c r="D53" s="89">
        <f t="shared" si="0"/>
        <v>0.9139311852712269</v>
      </c>
      <c r="E53" s="88">
        <f t="shared" si="1"/>
        <v>0.0030515203259661172</v>
      </c>
      <c r="F53" s="38">
        <f t="shared" si="5"/>
        <v>-0.0030515203259661172</v>
      </c>
      <c r="G53" s="39">
        <v>0.004772111832942983</v>
      </c>
      <c r="H53" s="61">
        <v>-0.003666852425302997</v>
      </c>
      <c r="I53" s="41">
        <f t="shared" si="2"/>
        <v>0.9474321065017983</v>
      </c>
      <c r="J53" s="42">
        <f t="shared" si="3"/>
        <v>1.3796692274123146E-05</v>
      </c>
    </row>
    <row r="54" spans="2:10" ht="12.75">
      <c r="B54" s="32">
        <f t="shared" si="6"/>
        <v>1.1200000000000003</v>
      </c>
      <c r="C54" s="37">
        <f t="shared" si="4"/>
        <v>0.9108898197456108</v>
      </c>
      <c r="D54" s="89">
        <f t="shared" si="0"/>
        <v>0.9108898197456108</v>
      </c>
      <c r="E54" s="88">
        <f t="shared" si="1"/>
        <v>0.0030413655256160688</v>
      </c>
      <c r="F54" s="38">
        <f t="shared" si="5"/>
        <v>-0.0030413655256160688</v>
      </c>
      <c r="G54" s="39">
        <v>0.004875499850139253</v>
      </c>
      <c r="H54" s="61">
        <v>-0.0038184940776429203</v>
      </c>
      <c r="I54" s="41">
        <f t="shared" si="2"/>
        <v>0.9455391358903963</v>
      </c>
      <c r="J54" s="42">
        <f t="shared" si="3"/>
        <v>1.4020621822818505E-05</v>
      </c>
    </row>
    <row r="55" spans="2:10" ht="12.75">
      <c r="B55" s="32">
        <f t="shared" si="6"/>
        <v>1.1600000000000004</v>
      </c>
      <c r="C55" s="37">
        <f t="shared" si="4"/>
        <v>0.9078585752273631</v>
      </c>
      <c r="D55" s="89">
        <f t="shared" si="0"/>
        <v>0.9078585752273631</v>
      </c>
      <c r="E55" s="88">
        <f t="shared" si="1"/>
        <v>0.0030312445182476555</v>
      </c>
      <c r="F55" s="38">
        <f t="shared" si="5"/>
        <v>-0.0030312445182476555</v>
      </c>
      <c r="G55" s="39">
        <v>0.004985450228441994</v>
      </c>
      <c r="H55" s="61">
        <v>-0.003864621875798103</v>
      </c>
      <c r="I55" s="41">
        <f t="shared" si="2"/>
        <v>0.9436499474367985</v>
      </c>
      <c r="J55" s="42">
        <f t="shared" si="3"/>
        <v>1.426054999422956E-05</v>
      </c>
    </row>
    <row r="56" spans="2:10" ht="12.75">
      <c r="B56" s="32">
        <f t="shared" si="6"/>
        <v>1.2000000000000004</v>
      </c>
      <c r="C56" s="37">
        <f t="shared" si="4"/>
        <v>0.9048374180359582</v>
      </c>
      <c r="D56" s="89">
        <f t="shared" si="0"/>
        <v>0.9048374180359582</v>
      </c>
      <c r="E56" s="88">
        <f t="shared" si="1"/>
        <v>0.003021157191404944</v>
      </c>
      <c r="F56" s="38">
        <f t="shared" si="5"/>
        <v>-0.003021157191404944</v>
      </c>
      <c r="G56" s="39">
        <v>0.0051021919126233205</v>
      </c>
      <c r="H56" s="61">
        <v>-0.003961453764217652</v>
      </c>
      <c r="I56" s="41">
        <f t="shared" si="2"/>
        <v>0.9417645335842487</v>
      </c>
      <c r="J56" s="42">
        <f t="shared" si="3"/>
        <v>1.4516851806335534E-05</v>
      </c>
    </row>
    <row r="57" spans="2:10" ht="12.75">
      <c r="B57" s="32">
        <f t="shared" si="6"/>
        <v>1.2400000000000004</v>
      </c>
      <c r="C57" s="37">
        <f t="shared" si="4"/>
        <v>0.9018263146029515</v>
      </c>
      <c r="D57" s="89">
        <f t="shared" si="0"/>
        <v>0.9018263146029515</v>
      </c>
      <c r="E57" s="88">
        <f t="shared" si="1"/>
        <v>0.003011103433006701</v>
      </c>
      <c r="F57" s="38">
        <f t="shared" si="5"/>
        <v>-0.003011103433006701</v>
      </c>
      <c r="G57" s="39">
        <v>0.005202445219772759</v>
      </c>
      <c r="H57" s="61">
        <v>-0.004073211490050715</v>
      </c>
      <c r="I57" s="41">
        <f t="shared" si="2"/>
        <v>0.9398828867910889</v>
      </c>
      <c r="J57" s="42">
        <f t="shared" si="3"/>
        <v>1.4723360031403473E-05</v>
      </c>
    </row>
    <row r="58" spans="2:10" ht="12.75">
      <c r="B58" s="32">
        <f t="shared" si="6"/>
        <v>1.2800000000000005</v>
      </c>
      <c r="C58" s="37">
        <f t="shared" si="4"/>
        <v>0.8988252314716073</v>
      </c>
      <c r="D58" s="89">
        <f t="shared" si="0"/>
        <v>0.8988252314716073</v>
      </c>
      <c r="E58" s="88">
        <f t="shared" si="1"/>
        <v>0.0030010831313441733</v>
      </c>
      <c r="F58" s="38">
        <f t="shared" si="5"/>
        <v>-0.0030010831313441733</v>
      </c>
      <c r="G58" s="39">
        <v>0.0052981865455731195</v>
      </c>
      <c r="H58" s="61">
        <v>-0.004221910554522962</v>
      </c>
      <c r="I58" s="41">
        <f t="shared" si="2"/>
        <v>0.9380049995307295</v>
      </c>
      <c r="J58" s="42">
        <f t="shared" si="3"/>
        <v>1.491455927000863E-05</v>
      </c>
    </row>
    <row r="59" spans="2:10" ht="12.75">
      <c r="B59" s="32">
        <f t="shared" si="6"/>
        <v>1.3200000000000005</v>
      </c>
      <c r="C59" s="37">
        <f aca="true" t="shared" si="7" ref="C59:C90">C58*EXP(-(B59-B58)*SpreadCntrpty/10000/(1-CntrptyRec))</f>
        <v>0.8958341352965267</v>
      </c>
      <c r="D59" s="89">
        <f aca="true" t="shared" si="8" ref="D59:D90">D58*EXP(-(B59-B58)*SpreadInstitution/10000/(1-InstitutionRecovery))</f>
        <v>0.8958341352965267</v>
      </c>
      <c r="E59" s="88">
        <f aca="true" t="shared" si="9" ref="E59:E90">C58-C59</f>
        <v>0.002991096175080643</v>
      </c>
      <c r="F59" s="38">
        <f t="shared" si="5"/>
        <v>-0.002991096175080643</v>
      </c>
      <c r="G59" s="39">
        <v>0.00538705067928286</v>
      </c>
      <c r="H59" s="61">
        <v>-0.0042106152907890595</v>
      </c>
      <c r="I59" s="41">
        <f aca="true" t="shared" si="10" ref="I59:I90">EXP(-IRate*B59)</f>
        <v>0.9361308642916188</v>
      </c>
      <c r="J59" s="42">
        <f aca="true" t="shared" si="11" ref="J59:J90">E59*G59*I59</f>
        <v>1.5084051374896189E-05</v>
      </c>
    </row>
    <row r="60" spans="2:10" ht="12.75">
      <c r="B60" s="32">
        <f t="shared" si="6"/>
        <v>1.3600000000000005</v>
      </c>
      <c r="C60" s="37">
        <f t="shared" si="7"/>
        <v>0.8928529928432769</v>
      </c>
      <c r="D60" s="89">
        <f t="shared" si="8"/>
        <v>0.8928529928432769</v>
      </c>
      <c r="E60" s="88">
        <f t="shared" si="9"/>
        <v>0.0029811424532497632</v>
      </c>
      <c r="F60" s="38">
        <f t="shared" si="5"/>
        <v>-0.0029811424532497632</v>
      </c>
      <c r="G60" s="39">
        <v>0.00546938028464521</v>
      </c>
      <c r="H60" s="61">
        <v>-0.004331635556700074</v>
      </c>
      <c r="I60" s="41">
        <f t="shared" si="10"/>
        <v>0.9342604735772135</v>
      </c>
      <c r="J60" s="42">
        <f t="shared" si="11"/>
        <v>1.5233118665529361E-05</v>
      </c>
    </row>
    <row r="61" spans="2:10" ht="12.75">
      <c r="B61" s="32">
        <f t="shared" si="6"/>
        <v>1.4000000000000006</v>
      </c>
      <c r="C61" s="37">
        <f t="shared" si="7"/>
        <v>0.8898817709880222</v>
      </c>
      <c r="D61" s="89">
        <f t="shared" si="8"/>
        <v>0.8898817709880222</v>
      </c>
      <c r="E61" s="88">
        <f t="shared" si="9"/>
        <v>0.0029712218552546688</v>
      </c>
      <c r="F61" s="38">
        <f t="shared" si="5"/>
        <v>-0.0029712218552546688</v>
      </c>
      <c r="G61" s="39">
        <v>0.005549149074641156</v>
      </c>
      <c r="H61" s="61">
        <v>-0.00428714312648826</v>
      </c>
      <c r="I61" s="41">
        <f t="shared" si="10"/>
        <v>0.9323938199059482</v>
      </c>
      <c r="J61" s="42">
        <f t="shared" si="11"/>
        <v>1.537307900939166E-05</v>
      </c>
    </row>
    <row r="62" spans="2:10" ht="12.75">
      <c r="B62" s="32">
        <f t="shared" si="6"/>
        <v>1.4400000000000006</v>
      </c>
      <c r="C62" s="37">
        <f t="shared" si="7"/>
        <v>0.8869204367171559</v>
      </c>
      <c r="D62" s="89">
        <f t="shared" si="8"/>
        <v>0.8869204367171559</v>
      </c>
      <c r="E62" s="88">
        <f t="shared" si="9"/>
        <v>0.0029613342708663115</v>
      </c>
      <c r="F62" s="38">
        <f t="shared" si="5"/>
        <v>-0.0029613342708663115</v>
      </c>
      <c r="G62" s="39">
        <v>0.005610400449397861</v>
      </c>
      <c r="H62" s="61">
        <v>-0.004381018430240033</v>
      </c>
      <c r="I62" s="41">
        <f t="shared" si="10"/>
        <v>0.9305308958112057</v>
      </c>
      <c r="J62" s="42">
        <f t="shared" si="11"/>
        <v>1.5460092592345657E-05</v>
      </c>
    </row>
    <row r="63" spans="2:10" ht="12.75">
      <c r="B63" s="32">
        <f t="shared" si="6"/>
        <v>1.4800000000000006</v>
      </c>
      <c r="C63" s="37">
        <f t="shared" si="7"/>
        <v>0.8839689571269334</v>
      </c>
      <c r="D63" s="89">
        <f t="shared" si="8"/>
        <v>0.8839689571269334</v>
      </c>
      <c r="E63" s="88">
        <f t="shared" si="9"/>
        <v>0.002951479590222572</v>
      </c>
      <c r="F63" s="38">
        <f t="shared" si="5"/>
        <v>-0.002951479590222572</v>
      </c>
      <c r="G63" s="39">
        <v>0.005666195549352462</v>
      </c>
      <c r="H63" s="61">
        <v>-0.004510185058273269</v>
      </c>
      <c r="I63" s="41">
        <f t="shared" si="10"/>
        <v>0.9286716938412871</v>
      </c>
      <c r="J63" s="42">
        <f t="shared" si="11"/>
        <v>1.5530790140592656E-05</v>
      </c>
    </row>
    <row r="64" spans="2:10" ht="12.75">
      <c r="B64" s="32">
        <f t="shared" si="6"/>
        <v>1.5200000000000007</v>
      </c>
      <c r="C64" s="37">
        <f t="shared" si="7"/>
        <v>0.8810272994231065</v>
      </c>
      <c r="D64" s="89">
        <f t="shared" si="8"/>
        <v>0.8810272994231065</v>
      </c>
      <c r="E64" s="88">
        <f t="shared" si="9"/>
        <v>0.0029416577038268166</v>
      </c>
      <c r="F64" s="38">
        <f t="shared" si="5"/>
        <v>-0.0029416577038268166</v>
      </c>
      <c r="G64" s="39">
        <v>0.005723982007294547</v>
      </c>
      <c r="H64" s="61">
        <v>-0.0044793346956398875</v>
      </c>
      <c r="I64" s="41">
        <f t="shared" si="10"/>
        <v>0.9268162065593822</v>
      </c>
      <c r="J64" s="42">
        <f t="shared" si="11"/>
        <v>1.5605727364061062E-05</v>
      </c>
    </row>
    <row r="65" spans="2:10" ht="12.75">
      <c r="B65" s="32">
        <f t="shared" si="6"/>
        <v>1.5600000000000007</v>
      </c>
      <c r="C65" s="37">
        <f t="shared" si="7"/>
        <v>0.8780954309205596</v>
      </c>
      <c r="D65" s="89">
        <f t="shared" si="8"/>
        <v>0.8780954309205596</v>
      </c>
      <c r="E65" s="88">
        <f t="shared" si="9"/>
        <v>0.002931868502546897</v>
      </c>
      <c r="F65" s="38">
        <f t="shared" si="5"/>
        <v>-0.002931868502546897</v>
      </c>
      <c r="G65" s="39">
        <v>0.005791825752219231</v>
      </c>
      <c r="H65" s="61">
        <v>-0.004606216631115752</v>
      </c>
      <c r="I65" s="41">
        <f t="shared" si="10"/>
        <v>0.9249644265435393</v>
      </c>
      <c r="J65" s="42">
        <f t="shared" si="11"/>
        <v>1.570670206474089E-05</v>
      </c>
    </row>
    <row r="66" spans="2:10" ht="12.75">
      <c r="B66" s="32">
        <f t="shared" si="6"/>
        <v>1.6000000000000008</v>
      </c>
      <c r="C66" s="37">
        <f t="shared" si="7"/>
        <v>0.8751733190429457</v>
      </c>
      <c r="D66" s="89">
        <f t="shared" si="8"/>
        <v>0.8751733190429457</v>
      </c>
      <c r="E66" s="88">
        <f t="shared" si="9"/>
        <v>0.002922111877613931</v>
      </c>
      <c r="F66" s="38">
        <f t="shared" si="5"/>
        <v>-0.002922111877613931</v>
      </c>
      <c r="G66" s="39">
        <v>0.005851550756231796</v>
      </c>
      <c r="H66" s="61">
        <v>-0.004530168040837304</v>
      </c>
      <c r="I66" s="41">
        <f t="shared" si="10"/>
        <v>0.9231163463866358</v>
      </c>
      <c r="J66" s="42">
        <f t="shared" si="11"/>
        <v>1.5784261141365575E-05</v>
      </c>
    </row>
    <row r="67" spans="2:10" ht="12.75">
      <c r="B67" s="32">
        <f t="shared" si="6"/>
        <v>1.6400000000000008</v>
      </c>
      <c r="C67" s="37">
        <f t="shared" si="7"/>
        <v>0.872260931322325</v>
      </c>
      <c r="D67" s="89">
        <f t="shared" si="8"/>
        <v>0.872260931322325</v>
      </c>
      <c r="E67" s="88">
        <f t="shared" si="9"/>
        <v>0.002912387720620746</v>
      </c>
      <c r="F67" s="38">
        <f t="shared" si="5"/>
        <v>-0.002912387720620746</v>
      </c>
      <c r="G67" s="39">
        <v>0.005905099626703936</v>
      </c>
      <c r="H67" s="61">
        <v>-0.004680720848374875</v>
      </c>
      <c r="I67" s="41">
        <f t="shared" si="10"/>
        <v>0.9212719586963486</v>
      </c>
      <c r="J67" s="42">
        <f t="shared" si="11"/>
        <v>1.5843979539393053E-05</v>
      </c>
    </row>
    <row r="68" spans="2:10" ht="12.75">
      <c r="B68" s="32">
        <f t="shared" si="6"/>
        <v>1.6800000000000008</v>
      </c>
      <c r="C68" s="37">
        <f t="shared" si="7"/>
        <v>0.869358235398804</v>
      </c>
      <c r="D68" s="89">
        <f t="shared" si="8"/>
        <v>0.869358235398804</v>
      </c>
      <c r="E68" s="88">
        <f t="shared" si="9"/>
        <v>0.0029026959235209926</v>
      </c>
      <c r="F68" s="38">
        <f t="shared" si="5"/>
        <v>-0.0029026959235209926</v>
      </c>
      <c r="G68" s="39">
        <v>0.005963814371706496</v>
      </c>
      <c r="H68" s="61">
        <v>-0.004686470010250229</v>
      </c>
      <c r="I68" s="41">
        <f t="shared" si="10"/>
        <v>0.9194312560951247</v>
      </c>
      <c r="J68" s="42">
        <f t="shared" si="11"/>
        <v>1.591640288698615E-05</v>
      </c>
    </row>
    <row r="69" spans="2:10" ht="12.75">
      <c r="B69" s="32">
        <f t="shared" si="6"/>
        <v>1.7200000000000009</v>
      </c>
      <c r="C69" s="37">
        <f t="shared" si="7"/>
        <v>0.8664651990201758</v>
      </c>
      <c r="D69" s="89">
        <f t="shared" si="8"/>
        <v>0.8664651990201758</v>
      </c>
      <c r="E69" s="88">
        <f t="shared" si="9"/>
        <v>0.0028930363786281443</v>
      </c>
      <c r="F69" s="38">
        <f t="shared" si="5"/>
        <v>-0.0028930363786281443</v>
      </c>
      <c r="G69" s="39">
        <v>0.006007816548592949</v>
      </c>
      <c r="H69" s="61">
        <v>-0.004690968836299519</v>
      </c>
      <c r="I69" s="41">
        <f t="shared" si="10"/>
        <v>0.9175942312201509</v>
      </c>
      <c r="J69" s="42">
        <f t="shared" si="11"/>
        <v>1.594855102211998E-05</v>
      </c>
    </row>
    <row r="70" spans="2:10" ht="12.75">
      <c r="B70" s="32">
        <f t="shared" si="6"/>
        <v>1.760000000000001</v>
      </c>
      <c r="C70" s="37">
        <f t="shared" si="7"/>
        <v>0.8635817900415622</v>
      </c>
      <c r="D70" s="89">
        <f t="shared" si="8"/>
        <v>0.8635817900415622</v>
      </c>
      <c r="E70" s="88">
        <f t="shared" si="9"/>
        <v>0.002883408978613611</v>
      </c>
      <c r="F70" s="38">
        <f t="shared" si="5"/>
        <v>-0.002883408978613611</v>
      </c>
      <c r="G70" s="39">
        <v>0.006055151261696325</v>
      </c>
      <c r="H70" s="61">
        <v>-0.004722095326621477</v>
      </c>
      <c r="I70" s="41">
        <f t="shared" si="10"/>
        <v>0.9157608767233256</v>
      </c>
      <c r="J70" s="42">
        <f t="shared" si="11"/>
        <v>1.5988706436119895E-05</v>
      </c>
    </row>
    <row r="71" spans="2:10" ht="12.75">
      <c r="B71" s="32">
        <f t="shared" si="6"/>
        <v>1.800000000000001</v>
      </c>
      <c r="C71" s="37">
        <f t="shared" si="7"/>
        <v>0.8607079764250558</v>
      </c>
      <c r="D71" s="89">
        <f t="shared" si="8"/>
        <v>0.8607079764250558</v>
      </c>
      <c r="E71" s="88">
        <f t="shared" si="9"/>
        <v>0.0028738136165064043</v>
      </c>
      <c r="F71" s="38">
        <f t="shared" si="5"/>
        <v>-0.0028738136165064043</v>
      </c>
      <c r="G71" s="39">
        <v>0.006102305070468268</v>
      </c>
      <c r="H71" s="61">
        <v>-0.004690021521350343</v>
      </c>
      <c r="I71" s="41">
        <f t="shared" si="10"/>
        <v>0.9139311852712282</v>
      </c>
      <c r="J71" s="42">
        <f t="shared" si="11"/>
        <v>1.6027508290729054E-05</v>
      </c>
    </row>
    <row r="72" spans="2:10" ht="12.75">
      <c r="B72" s="32">
        <f t="shared" si="6"/>
        <v>1.840000000000001</v>
      </c>
      <c r="C72" s="37">
        <f t="shared" si="7"/>
        <v>0.8578437262393648</v>
      </c>
      <c r="D72" s="89">
        <f t="shared" si="8"/>
        <v>0.8578437262393648</v>
      </c>
      <c r="E72" s="88">
        <f t="shared" si="9"/>
        <v>0.0028642501856910307</v>
      </c>
      <c r="F72" s="38">
        <f t="shared" si="5"/>
        <v>-0.0028642501856910307</v>
      </c>
      <c r="G72" s="39">
        <v>0.006152813931495424</v>
      </c>
      <c r="H72" s="61">
        <v>-0.004743636269635251</v>
      </c>
      <c r="I72" s="41">
        <f t="shared" si="10"/>
        <v>0.9121051495450904</v>
      </c>
      <c r="J72" s="42">
        <f t="shared" si="11"/>
        <v>1.607421005387663E-05</v>
      </c>
    </row>
    <row r="73" spans="2:10" ht="12.75">
      <c r="B73" s="32">
        <f t="shared" si="6"/>
        <v>1.880000000000001</v>
      </c>
      <c r="C73" s="37">
        <f t="shared" si="7"/>
        <v>0.8549890076594575</v>
      </c>
      <c r="D73" s="89">
        <f t="shared" si="8"/>
        <v>0.8549890076594575</v>
      </c>
      <c r="E73" s="88">
        <f t="shared" si="9"/>
        <v>0.002854718579907267</v>
      </c>
      <c r="F73" s="38">
        <f t="shared" si="5"/>
        <v>-0.002854718579907267</v>
      </c>
      <c r="G73" s="39">
        <v>0.0061923704593485045</v>
      </c>
      <c r="H73" s="61">
        <v>-0.00484790697994793</v>
      </c>
      <c r="I73" s="41">
        <f t="shared" si="10"/>
        <v>0.9102827622407669</v>
      </c>
      <c r="J73" s="42">
        <f t="shared" si="11"/>
        <v>1.60915007760569E-05</v>
      </c>
    </row>
    <row r="74" spans="2:10" ht="12.75">
      <c r="B74" s="32">
        <f t="shared" si="6"/>
        <v>1.920000000000001</v>
      </c>
      <c r="C74" s="37">
        <f t="shared" si="7"/>
        <v>0.8521437889662092</v>
      </c>
      <c r="D74" s="89">
        <f t="shared" si="8"/>
        <v>0.8521437889662092</v>
      </c>
      <c r="E74" s="88">
        <f t="shared" si="9"/>
        <v>0.002845218693248275</v>
      </c>
      <c r="F74" s="38">
        <f t="shared" si="5"/>
        <v>-0.002845218693248275</v>
      </c>
      <c r="G74" s="39">
        <v>0.006226427579647134</v>
      </c>
      <c r="H74" s="61">
        <v>-0.004911909191706495</v>
      </c>
      <c r="I74" s="41">
        <f t="shared" si="10"/>
        <v>0.9084640160687061</v>
      </c>
      <c r="J74" s="42">
        <f t="shared" si="11"/>
        <v>1.609393801172964E-05</v>
      </c>
    </row>
    <row r="75" spans="2:10" ht="12.75">
      <c r="B75" s="32">
        <f t="shared" si="6"/>
        <v>1.960000000000001</v>
      </c>
      <c r="C75" s="37">
        <f t="shared" si="7"/>
        <v>0.8493080385460497</v>
      </c>
      <c r="D75" s="89">
        <f t="shared" si="8"/>
        <v>0.8493080385460497</v>
      </c>
      <c r="E75" s="88">
        <f t="shared" si="9"/>
        <v>0.0028357504201594885</v>
      </c>
      <c r="F75" s="38">
        <f t="shared" si="5"/>
        <v>-0.0028357504201594885</v>
      </c>
      <c r="G75" s="39">
        <v>0.00625853519117007</v>
      </c>
      <c r="H75" s="61">
        <v>-0.004927135532117766</v>
      </c>
      <c r="I75" s="41">
        <f t="shared" si="10"/>
        <v>0.9066489037539208</v>
      </c>
      <c r="J75" s="42">
        <f t="shared" si="11"/>
        <v>1.609088179362052E-05</v>
      </c>
    </row>
    <row r="76" spans="2:10" ht="12.75">
      <c r="B76" s="32">
        <f t="shared" si="6"/>
        <v>2.000000000000001</v>
      </c>
      <c r="C76" s="37">
        <f t="shared" si="7"/>
        <v>0.846481724890612</v>
      </c>
      <c r="D76" s="89">
        <f t="shared" si="8"/>
        <v>0.846481724890612</v>
      </c>
      <c r="E76" s="88">
        <f t="shared" si="9"/>
        <v>0.002826313655437729</v>
      </c>
      <c r="F76" s="38">
        <f t="shared" si="5"/>
        <v>-0.002826313655437729</v>
      </c>
      <c r="G76" s="39">
        <v>0.006305369150353792</v>
      </c>
      <c r="H76" s="61">
        <v>-0.0048902739236314</v>
      </c>
      <c r="I76" s="41">
        <f t="shared" si="10"/>
        <v>0.9048374180359595</v>
      </c>
      <c r="J76" s="42">
        <f t="shared" si="11"/>
        <v>1.6125063228456114E-05</v>
      </c>
    </row>
    <row r="77" spans="2:10" ht="12.75">
      <c r="B77" s="32">
        <f t="shared" si="6"/>
        <v>2.040000000000001</v>
      </c>
      <c r="C77" s="37">
        <f t="shared" si="7"/>
        <v>0.8436648165963816</v>
      </c>
      <c r="D77" s="89">
        <f t="shared" si="8"/>
        <v>0.8436648165963816</v>
      </c>
      <c r="E77" s="88">
        <f t="shared" si="9"/>
        <v>0.0028169082942304247</v>
      </c>
      <c r="F77" s="38">
        <f t="shared" si="5"/>
        <v>-0.0028169082942304247</v>
      </c>
      <c r="G77" s="39">
        <v>0.006358936109924215</v>
      </c>
      <c r="H77" s="61">
        <v>-0.0050808948451932226</v>
      </c>
      <c r="I77" s="41">
        <f t="shared" si="10"/>
        <v>0.9030295516688768</v>
      </c>
      <c r="J77" s="42">
        <f t="shared" si="11"/>
        <v>1.617555284853276E-05</v>
      </c>
    </row>
    <row r="78" spans="2:10" ht="12.75">
      <c r="B78" s="32">
        <f t="shared" si="6"/>
        <v>2.080000000000001</v>
      </c>
      <c r="C78" s="37">
        <f t="shared" si="7"/>
        <v>0.8408572823643485</v>
      </c>
      <c r="D78" s="89">
        <f t="shared" si="8"/>
        <v>0.8408572823643485</v>
      </c>
      <c r="E78" s="88">
        <f t="shared" si="9"/>
        <v>0.00280753423203306</v>
      </c>
      <c r="F78" s="38">
        <f t="shared" si="5"/>
        <v>-0.00280753423203306</v>
      </c>
      <c r="G78" s="39">
        <v>0.006403824269505993</v>
      </c>
      <c r="H78" s="61">
        <v>-0.005088022224232154</v>
      </c>
      <c r="I78" s="41">
        <f t="shared" si="10"/>
        <v>0.9012252974212047</v>
      </c>
      <c r="J78" s="42">
        <f t="shared" si="11"/>
        <v>1.620308983554806E-05</v>
      </c>
    </row>
    <row r="79" spans="2:10" ht="12.75">
      <c r="B79" s="32">
        <f t="shared" si="6"/>
        <v>2.120000000000001</v>
      </c>
      <c r="C79" s="37">
        <f t="shared" si="7"/>
        <v>0.8380590909996593</v>
      </c>
      <c r="D79" s="89">
        <f t="shared" si="8"/>
        <v>0.8380590909996593</v>
      </c>
      <c r="E79" s="88">
        <f t="shared" si="9"/>
        <v>0.002798191364689284</v>
      </c>
      <c r="F79" s="38">
        <f t="shared" si="5"/>
        <v>-0.002798191364689284</v>
      </c>
      <c r="G79" s="39">
        <v>0.0064483058802390116</v>
      </c>
      <c r="H79" s="61">
        <v>-0.004978045872709242</v>
      </c>
      <c r="I79" s="41">
        <f t="shared" si="10"/>
        <v>0.899424648075924</v>
      </c>
      <c r="J79" s="42">
        <f t="shared" si="11"/>
        <v>1.6228853031436054E-05</v>
      </c>
    </row>
    <row r="80" spans="2:10" ht="12.75">
      <c r="B80" s="32">
        <f t="shared" si="6"/>
        <v>2.160000000000001</v>
      </c>
      <c r="C80" s="37">
        <f t="shared" si="7"/>
        <v>0.8352702114112698</v>
      </c>
      <c r="D80" s="89">
        <f t="shared" si="8"/>
        <v>0.8352702114112698</v>
      </c>
      <c r="E80" s="88">
        <f t="shared" si="9"/>
        <v>0.00278887958838947</v>
      </c>
      <c r="F80" s="38">
        <f t="shared" si="5"/>
        <v>-0.00278887958838947</v>
      </c>
      <c r="G80" s="39">
        <v>0.0064879268688109275</v>
      </c>
      <c r="H80" s="61">
        <v>-0.005121243709213964</v>
      </c>
      <c r="I80" s="41">
        <f t="shared" si="10"/>
        <v>0.8976275964304349</v>
      </c>
      <c r="J80" s="42">
        <f t="shared" si="11"/>
        <v>1.6241715752598652E-05</v>
      </c>
    </row>
    <row r="81" spans="2:10" ht="12.75">
      <c r="B81" s="32">
        <f t="shared" si="6"/>
        <v>2.200000000000001</v>
      </c>
      <c r="C81" s="37">
        <f t="shared" si="7"/>
        <v>0.8324906126116004</v>
      </c>
      <c r="D81" s="89">
        <f t="shared" si="8"/>
        <v>0.8324906126116004</v>
      </c>
      <c r="E81" s="88">
        <f t="shared" si="9"/>
        <v>0.0027795987996693805</v>
      </c>
      <c r="F81" s="38">
        <f t="shared" si="5"/>
        <v>-0.0027795987996693805</v>
      </c>
      <c r="G81" s="39">
        <v>0.006537455609068828</v>
      </c>
      <c r="H81" s="61">
        <v>-0.005216068356865782</v>
      </c>
      <c r="I81" s="41">
        <f t="shared" si="10"/>
        <v>0.8958341352965282</v>
      </c>
      <c r="J81" s="42">
        <f t="shared" si="11"/>
        <v>1.6278653361334747E-05</v>
      </c>
    </row>
    <row r="82" spans="2:10" ht="12.75">
      <c r="B82" s="32">
        <f t="shared" si="6"/>
        <v>2.240000000000001</v>
      </c>
      <c r="C82" s="37">
        <f t="shared" si="7"/>
        <v>0.8297202637161915</v>
      </c>
      <c r="D82" s="89">
        <f t="shared" si="8"/>
        <v>0.8297202637161915</v>
      </c>
      <c r="E82" s="88">
        <f t="shared" si="9"/>
        <v>0.0027703488954089472</v>
      </c>
      <c r="F82" s="38">
        <f t="shared" si="5"/>
        <v>-0.0027703488954089472</v>
      </c>
      <c r="G82" s="39">
        <v>0.006579945347278444</v>
      </c>
      <c r="H82" s="61">
        <v>-0.00507364414292437</v>
      </c>
      <c r="I82" s="41">
        <f t="shared" si="10"/>
        <v>0.8940442575003572</v>
      </c>
      <c r="J82" s="42">
        <f t="shared" si="11"/>
        <v>1.629730418492603E-05</v>
      </c>
    </row>
    <row r="83" spans="2:10" ht="12.75">
      <c r="B83" s="32">
        <f t="shared" si="6"/>
        <v>2.280000000000001</v>
      </c>
      <c r="C83" s="37">
        <f t="shared" si="7"/>
        <v>0.82695913394336</v>
      </c>
      <c r="D83" s="89">
        <f t="shared" si="8"/>
        <v>0.82695913394336</v>
      </c>
      <c r="E83" s="88">
        <f t="shared" si="9"/>
        <v>0.0027611297728314943</v>
      </c>
      <c r="F83" s="38">
        <f t="shared" si="5"/>
        <v>-0.0027611297728314943</v>
      </c>
      <c r="G83" s="39">
        <v>0.006627983371015096</v>
      </c>
      <c r="H83" s="61">
        <v>-0.005248171677318866</v>
      </c>
      <c r="I83" s="41">
        <f t="shared" si="10"/>
        <v>0.8922579558824083</v>
      </c>
      <c r="J83" s="42">
        <f t="shared" si="11"/>
        <v>1.6328964998780164E-05</v>
      </c>
    </row>
    <row r="84" spans="2:10" ht="12.75">
      <c r="B84" s="32">
        <f t="shared" si="6"/>
        <v>2.320000000000001</v>
      </c>
      <c r="C84" s="37">
        <f t="shared" si="7"/>
        <v>0.8242071926138579</v>
      </c>
      <c r="D84" s="89">
        <f t="shared" si="8"/>
        <v>0.8242071926138579</v>
      </c>
      <c r="E84" s="88">
        <f t="shared" si="9"/>
        <v>0.0027519413295020723</v>
      </c>
      <c r="F84" s="38">
        <f t="shared" si="5"/>
        <v>-0.0027519413295020723</v>
      </c>
      <c r="G84" s="39">
        <v>0.006670713715286228</v>
      </c>
      <c r="H84" s="61">
        <v>-0.00513499876111155</v>
      </c>
      <c r="I84" s="41">
        <f t="shared" si="10"/>
        <v>0.8904752232974725</v>
      </c>
      <c r="J84" s="42">
        <f t="shared" si="11"/>
        <v>1.6346821235861316E-05</v>
      </c>
    </row>
    <row r="85" spans="2:10" ht="12.75">
      <c r="B85" s="32">
        <f t="shared" si="6"/>
        <v>2.360000000000001</v>
      </c>
      <c r="C85" s="37">
        <f t="shared" si="7"/>
        <v>0.8214644091505311</v>
      </c>
      <c r="D85" s="89">
        <f t="shared" si="8"/>
        <v>0.8214644091505311</v>
      </c>
      <c r="E85" s="88">
        <f t="shared" si="9"/>
        <v>0.0027427834633267922</v>
      </c>
      <c r="F85" s="38">
        <f t="shared" si="5"/>
        <v>-0.0027427834633267922</v>
      </c>
      <c r="G85" s="39">
        <v>0.006711599732665753</v>
      </c>
      <c r="H85" s="61">
        <v>-0.005221415890810982</v>
      </c>
      <c r="I85" s="41">
        <f t="shared" si="10"/>
        <v>0.8886960526146173</v>
      </c>
      <c r="J85" s="42">
        <f t="shared" si="11"/>
        <v>1.6359529966217792E-05</v>
      </c>
    </row>
    <row r="86" spans="2:10" ht="12.75">
      <c r="B86" s="32">
        <f t="shared" si="6"/>
        <v>2.4000000000000012</v>
      </c>
      <c r="C86" s="37">
        <f t="shared" si="7"/>
        <v>0.8187307530779794</v>
      </c>
      <c r="D86" s="89">
        <f t="shared" si="8"/>
        <v>0.8187307530779794</v>
      </c>
      <c r="E86" s="88">
        <f t="shared" si="9"/>
        <v>0.0027336560725517156</v>
      </c>
      <c r="F86" s="38">
        <f t="shared" si="5"/>
        <v>-0.0027336560725517156</v>
      </c>
      <c r="G86" s="39">
        <v>0.006744674716507476</v>
      </c>
      <c r="H86" s="61">
        <v>-0.005365521012658228</v>
      </c>
      <c r="I86" s="41">
        <f t="shared" si="10"/>
        <v>0.8869204367171575</v>
      </c>
      <c r="J86" s="42">
        <f t="shared" si="11"/>
        <v>1.6352702865945586E-05</v>
      </c>
    </row>
    <row r="87" spans="2:10" ht="12.75">
      <c r="B87" s="32">
        <f t="shared" si="6"/>
        <v>2.4400000000000013</v>
      </c>
      <c r="C87" s="37">
        <f t="shared" si="7"/>
        <v>0.8160061940222184</v>
      </c>
      <c r="D87" s="89">
        <f t="shared" si="8"/>
        <v>0.8160061940222184</v>
      </c>
      <c r="E87" s="88">
        <f t="shared" si="9"/>
        <v>0.0027245590557609667</v>
      </c>
      <c r="F87" s="38">
        <f t="shared" si="5"/>
        <v>-0.0027245590557609667</v>
      </c>
      <c r="G87" s="39">
        <v>0.006779132503664248</v>
      </c>
      <c r="H87" s="61">
        <v>-0.0052096505804850425</v>
      </c>
      <c r="I87" s="41">
        <f t="shared" si="10"/>
        <v>0.885148368502627</v>
      </c>
      <c r="J87" s="42">
        <f t="shared" si="11"/>
        <v>1.6348820352991707E-05</v>
      </c>
    </row>
    <row r="88" spans="2:10" ht="12.75">
      <c r="B88" s="32">
        <f t="shared" si="6"/>
        <v>2.4800000000000013</v>
      </c>
      <c r="C88" s="37">
        <f t="shared" si="7"/>
        <v>0.8132907017103417</v>
      </c>
      <c r="D88" s="89">
        <f t="shared" si="8"/>
        <v>0.8132907017103417</v>
      </c>
      <c r="E88" s="88">
        <f t="shared" si="9"/>
        <v>0.0027154923118767327</v>
      </c>
      <c r="F88" s="38">
        <f t="shared" si="5"/>
        <v>-0.0027154923118767327</v>
      </c>
      <c r="G88" s="39">
        <v>0.0068209200376155</v>
      </c>
      <c r="H88" s="61">
        <v>-0.005281483878429346</v>
      </c>
      <c r="I88" s="41">
        <f t="shared" si="10"/>
        <v>0.8833798408827508</v>
      </c>
      <c r="J88" s="42">
        <f t="shared" si="11"/>
        <v>1.6362099151244442E-05</v>
      </c>
    </row>
    <row r="89" spans="2:10" ht="12.75">
      <c r="B89" s="32">
        <f t="shared" si="6"/>
        <v>2.5200000000000014</v>
      </c>
      <c r="C89" s="37">
        <f t="shared" si="7"/>
        <v>0.8105842459701845</v>
      </c>
      <c r="D89" s="89">
        <f t="shared" si="8"/>
        <v>0.8105842459701845</v>
      </c>
      <c r="E89" s="88">
        <f t="shared" si="9"/>
        <v>0.0027064557401571543</v>
      </c>
      <c r="F89" s="38">
        <f t="shared" si="5"/>
        <v>-0.0027064557401571543</v>
      </c>
      <c r="G89" s="39">
        <v>0.006872221649760141</v>
      </c>
      <c r="H89" s="61">
        <v>-0.005429104843972938</v>
      </c>
      <c r="I89" s="41">
        <f t="shared" si="10"/>
        <v>0.881614846783416</v>
      </c>
      <c r="J89" s="42">
        <f t="shared" si="11"/>
        <v>1.639747520652613E-05</v>
      </c>
    </row>
    <row r="90" spans="2:10" ht="12.75">
      <c r="B90" s="32">
        <f t="shared" si="6"/>
        <v>2.5600000000000014</v>
      </c>
      <c r="C90" s="37">
        <f t="shared" si="7"/>
        <v>0.8078867967299885</v>
      </c>
      <c r="D90" s="89">
        <f t="shared" si="8"/>
        <v>0.8078867967299885</v>
      </c>
      <c r="E90" s="88">
        <f t="shared" si="9"/>
        <v>0.0026974492401959926</v>
      </c>
      <c r="F90" s="38">
        <f t="shared" si="5"/>
        <v>-0.0026974492401959926</v>
      </c>
      <c r="G90" s="39">
        <v>0.006923945306542778</v>
      </c>
      <c r="H90" s="61">
        <v>-0.005417800838038579</v>
      </c>
      <c r="I90" s="41">
        <f t="shared" si="10"/>
        <v>0.8798533791446438</v>
      </c>
      <c r="J90" s="42">
        <f t="shared" si="11"/>
        <v>1.643301364914051E-05</v>
      </c>
    </row>
    <row r="91" spans="2:10" ht="12.75">
      <c r="B91" s="32">
        <f t="shared" si="6"/>
        <v>2.6000000000000014</v>
      </c>
      <c r="C91" s="37">
        <f aca="true" t="shared" si="12" ref="C91:C122">C90*EXP(-(B91-B90)*SpreadCntrpty/10000/(1-CntrptyRec))</f>
        <v>0.8051983240180679</v>
      </c>
      <c r="D91" s="89">
        <f aca="true" t="shared" si="13" ref="D91:D122">D90*EXP(-(B91-B90)*SpreadInstitution/10000/(1-InstitutionRecovery))</f>
        <v>0.8051983240180679</v>
      </c>
      <c r="E91" s="88">
        <f aca="true" t="shared" si="14" ref="E91:E122">C90-C91</f>
        <v>0.002688472711920631</v>
      </c>
      <c r="F91" s="38">
        <f t="shared" si="5"/>
        <v>-0.002688472711920631</v>
      </c>
      <c r="G91" s="39">
        <v>0.006969550058611152</v>
      </c>
      <c r="H91" s="61">
        <v>-0.005353374059389519</v>
      </c>
      <c r="I91" s="41">
        <f aca="true" t="shared" si="15" ref="I91:I122">EXP(-IRate*B91)</f>
        <v>0.8780954309205612</v>
      </c>
      <c r="J91" s="42">
        <f aca="true" t="shared" si="16" ref="J91:J122">E91*G91*I91</f>
        <v>1.645326497065346E-05</v>
      </c>
    </row>
    <row r="92" spans="2:10" ht="12.75">
      <c r="B92" s="32">
        <f t="shared" si="6"/>
        <v>2.6400000000000015</v>
      </c>
      <c r="C92" s="37">
        <f t="shared" si="12"/>
        <v>0.8025187979624758</v>
      </c>
      <c r="D92" s="89">
        <f t="shared" si="13"/>
        <v>0.8025187979624758</v>
      </c>
      <c r="E92" s="88">
        <f t="shared" si="14"/>
        <v>0.002679526055592074</v>
      </c>
      <c r="F92" s="38">
        <f aca="true" t="shared" si="17" ref="F92:F151">D92-D91</f>
        <v>-0.002679526055592074</v>
      </c>
      <c r="G92" s="39">
        <v>0.007007093487532473</v>
      </c>
      <c r="H92" s="61">
        <v>-0.005477033222597361</v>
      </c>
      <c r="I92" s="41">
        <f t="shared" si="15"/>
        <v>0.8763409950793732</v>
      </c>
      <c r="J92" s="42">
        <f t="shared" si="16"/>
        <v>1.645390648441652E-05</v>
      </c>
    </row>
    <row r="93" spans="2:10" ht="12.75">
      <c r="B93" s="32">
        <f t="shared" si="6"/>
        <v>2.6800000000000015</v>
      </c>
      <c r="C93" s="37">
        <f t="shared" si="12"/>
        <v>0.799848188790673</v>
      </c>
      <c r="D93" s="89">
        <f t="shared" si="13"/>
        <v>0.799848188790673</v>
      </c>
      <c r="E93" s="88">
        <f t="shared" si="14"/>
        <v>0.00267060917180284</v>
      </c>
      <c r="F93" s="38">
        <f t="shared" si="17"/>
        <v>-0.00267060917180284</v>
      </c>
      <c r="G93" s="39">
        <v>0.0070390567548106</v>
      </c>
      <c r="H93" s="61">
        <v>-0.005462527711385904</v>
      </c>
      <c r="I93" s="41">
        <f t="shared" si="15"/>
        <v>0.874590064603334</v>
      </c>
      <c r="J93" s="42">
        <f t="shared" si="16"/>
        <v>1.6441042139901053E-05</v>
      </c>
    </row>
    <row r="94" spans="2:10" ht="12.75">
      <c r="B94" s="32">
        <f t="shared" si="6"/>
        <v>2.7200000000000015</v>
      </c>
      <c r="C94" s="37">
        <f t="shared" si="12"/>
        <v>0.7971864668291967</v>
      </c>
      <c r="D94" s="89">
        <f t="shared" si="13"/>
        <v>0.7971864668291967</v>
      </c>
      <c r="E94" s="88">
        <f t="shared" si="14"/>
        <v>0.0026617219614762933</v>
      </c>
      <c r="F94" s="38">
        <f t="shared" si="17"/>
        <v>-0.0026617219614762933</v>
      </c>
      <c r="G94" s="39">
        <v>0.007055737214066512</v>
      </c>
      <c r="H94" s="61">
        <v>-0.005584846022796557</v>
      </c>
      <c r="I94" s="41">
        <f t="shared" si="15"/>
        <v>0.8728426324887193</v>
      </c>
      <c r="J94" s="42">
        <f t="shared" si="16"/>
        <v>1.639234311206419E-05</v>
      </c>
    </row>
    <row r="95" spans="2:10" ht="12.75">
      <c r="B95" s="32">
        <f aca="true" t="shared" si="18" ref="B95:B151">B94+0.04</f>
        <v>2.7600000000000016</v>
      </c>
      <c r="C95" s="37">
        <f t="shared" si="12"/>
        <v>0.7945336025033312</v>
      </c>
      <c r="D95" s="89">
        <f t="shared" si="13"/>
        <v>0.7945336025033312</v>
      </c>
      <c r="E95" s="88">
        <f t="shared" si="14"/>
        <v>0.0026528643258655338</v>
      </c>
      <c r="F95" s="38">
        <f t="shared" si="17"/>
        <v>-0.0026528643258655338</v>
      </c>
      <c r="G95" s="39">
        <v>0.007067811755070975</v>
      </c>
      <c r="H95" s="61">
        <v>-0.005450591311705552</v>
      </c>
      <c r="I95" s="41">
        <f t="shared" si="15"/>
        <v>0.8710986917457982</v>
      </c>
      <c r="J95" s="42">
        <f t="shared" si="16"/>
        <v>1.63330531407944E-05</v>
      </c>
    </row>
    <row r="96" spans="2:10" ht="12.75">
      <c r="B96" s="32">
        <f t="shared" si="18"/>
        <v>2.8000000000000016</v>
      </c>
      <c r="C96" s="37">
        <f t="shared" si="12"/>
        <v>0.7918895663367788</v>
      </c>
      <c r="D96" s="89">
        <f t="shared" si="13"/>
        <v>0.7918895663367788</v>
      </c>
      <c r="E96" s="88">
        <f t="shared" si="14"/>
        <v>0.0026440361665523993</v>
      </c>
      <c r="F96" s="38">
        <f t="shared" si="17"/>
        <v>-0.0026440361665523993</v>
      </c>
      <c r="G96" s="39">
        <v>0.007079110593087081</v>
      </c>
      <c r="H96" s="61">
        <v>-0.0055716572979351816</v>
      </c>
      <c r="I96" s="41">
        <f t="shared" si="15"/>
        <v>0.8693582353988057</v>
      </c>
      <c r="J96" s="42">
        <f t="shared" si="16"/>
        <v>1.6272147078149403E-05</v>
      </c>
    </row>
    <row r="97" spans="2:10" ht="12.75">
      <c r="B97" s="32">
        <f t="shared" si="18"/>
        <v>2.8400000000000016</v>
      </c>
      <c r="C97" s="37">
        <f t="shared" si="12"/>
        <v>0.7892543289513327</v>
      </c>
      <c r="D97" s="89">
        <f t="shared" si="13"/>
        <v>0.7892543289513327</v>
      </c>
      <c r="E97" s="88">
        <f t="shared" si="14"/>
        <v>0.002635237385446021</v>
      </c>
      <c r="F97" s="38">
        <f t="shared" si="17"/>
        <v>-0.002635237385446021</v>
      </c>
      <c r="G97" s="39">
        <v>0.007082825946118492</v>
      </c>
      <c r="H97" s="61">
        <v>-0.005653634411585193</v>
      </c>
      <c r="I97" s="41">
        <f t="shared" si="15"/>
        <v>0.8676212564859139</v>
      </c>
      <c r="J97" s="42">
        <f t="shared" si="16"/>
        <v>1.619408804742869E-05</v>
      </c>
    </row>
    <row r="98" spans="2:10" ht="12.75">
      <c r="B98" s="32">
        <f t="shared" si="18"/>
        <v>2.8800000000000017</v>
      </c>
      <c r="C98" s="37">
        <f t="shared" si="12"/>
        <v>0.7866278610665505</v>
      </c>
      <c r="D98" s="89">
        <f t="shared" si="13"/>
        <v>0.7866278610665505</v>
      </c>
      <c r="E98" s="88">
        <f t="shared" si="14"/>
        <v>0.0026264678847822687</v>
      </c>
      <c r="F98" s="38">
        <f t="shared" si="17"/>
        <v>-0.0026264678847822687</v>
      </c>
      <c r="G98" s="39">
        <v>0.007065437594818936</v>
      </c>
      <c r="H98" s="61">
        <v>-0.005484209164225608</v>
      </c>
      <c r="I98" s="41">
        <f t="shared" si="15"/>
        <v>0.8658877480592049</v>
      </c>
      <c r="J98" s="42">
        <f t="shared" si="16"/>
        <v>1.6068404437937492E-05</v>
      </c>
    </row>
    <row r="99" spans="2:10" ht="12.75">
      <c r="B99" s="32">
        <f t="shared" si="18"/>
        <v>2.9200000000000017</v>
      </c>
      <c r="C99" s="37">
        <f t="shared" si="12"/>
        <v>0.7840101334994285</v>
      </c>
      <c r="D99" s="89">
        <f t="shared" si="13"/>
        <v>0.7840101334994285</v>
      </c>
      <c r="E99" s="88">
        <f t="shared" si="14"/>
        <v>0.0026177275671219746</v>
      </c>
      <c r="F99" s="38">
        <f t="shared" si="17"/>
        <v>-0.0026177275671219746</v>
      </c>
      <c r="G99" s="39">
        <v>0.007049730910772914</v>
      </c>
      <c r="H99" s="61">
        <v>-0.005477224676912655</v>
      </c>
      <c r="I99" s="41">
        <f t="shared" si="15"/>
        <v>0.8641577031846427</v>
      </c>
      <c r="J99" s="42">
        <f t="shared" si="16"/>
        <v>1.594740385120599E-05</v>
      </c>
    </row>
    <row r="100" spans="2:10" ht="12.75">
      <c r="B100" s="32">
        <f t="shared" si="18"/>
        <v>2.9600000000000017</v>
      </c>
      <c r="C100" s="37">
        <f t="shared" si="12"/>
        <v>0.781401117164078</v>
      </c>
      <c r="D100" s="89">
        <f t="shared" si="13"/>
        <v>0.781401117164078</v>
      </c>
      <c r="E100" s="88">
        <f t="shared" si="14"/>
        <v>0.002609016335350489</v>
      </c>
      <c r="F100" s="38">
        <f t="shared" si="17"/>
        <v>-0.002609016335350489</v>
      </c>
      <c r="G100" s="39">
        <v>0.0070301285483130825</v>
      </c>
      <c r="H100" s="61">
        <v>-0.005532334126256588</v>
      </c>
      <c r="I100" s="41">
        <f t="shared" si="15"/>
        <v>0.8624311149420454</v>
      </c>
      <c r="J100" s="42">
        <f t="shared" si="16"/>
        <v>1.5818470221154796E-05</v>
      </c>
    </row>
    <row r="101" spans="2:10" ht="12.75">
      <c r="B101" s="32">
        <f t="shared" si="18"/>
        <v>3.0000000000000018</v>
      </c>
      <c r="C101" s="37">
        <f t="shared" si="12"/>
        <v>0.7788007830714018</v>
      </c>
      <c r="D101" s="89">
        <f t="shared" si="13"/>
        <v>0.7788007830714018</v>
      </c>
      <c r="E101" s="88">
        <f t="shared" si="14"/>
        <v>0.0026003340926762375</v>
      </c>
      <c r="F101" s="38">
        <f t="shared" si="17"/>
        <v>-0.0026003340926762375</v>
      </c>
      <c r="G101" s="39">
        <v>0.006998402339924624</v>
      </c>
      <c r="H101" s="61">
        <v>-0.005522263470765098</v>
      </c>
      <c r="I101" s="41">
        <f t="shared" si="15"/>
        <v>0.8607079764250577</v>
      </c>
      <c r="J101" s="42">
        <f t="shared" si="16"/>
        <v>1.566332229633478E-05</v>
      </c>
    </row>
    <row r="102" spans="2:10" ht="12.75">
      <c r="B102" s="32">
        <f t="shared" si="18"/>
        <v>3.040000000000002</v>
      </c>
      <c r="C102" s="37">
        <f t="shared" si="12"/>
        <v>0.776209102328772</v>
      </c>
      <c r="D102" s="89">
        <f t="shared" si="13"/>
        <v>0.776209102328772</v>
      </c>
      <c r="E102" s="88">
        <f t="shared" si="14"/>
        <v>0.0025916807426297206</v>
      </c>
      <c r="F102" s="38">
        <f t="shared" si="17"/>
        <v>-0.0025916807426297206</v>
      </c>
      <c r="G102" s="39">
        <v>0.006960285142293287</v>
      </c>
      <c r="H102" s="61">
        <v>-0.005412094283761742</v>
      </c>
      <c r="I102" s="41">
        <f t="shared" si="15"/>
        <v>0.8589882807411234</v>
      </c>
      <c r="J102" s="42">
        <f t="shared" si="16"/>
        <v>1.549514955241748E-05</v>
      </c>
    </row>
    <row r="103" spans="2:10" ht="12.75">
      <c r="B103" s="32">
        <f t="shared" si="18"/>
        <v>3.080000000000002</v>
      </c>
      <c r="C103" s="37">
        <f t="shared" si="12"/>
        <v>0.7736260461397094</v>
      </c>
      <c r="D103" s="89">
        <f t="shared" si="13"/>
        <v>0.7736260461397094</v>
      </c>
      <c r="E103" s="88">
        <f t="shared" si="14"/>
        <v>0.002583056189062627</v>
      </c>
      <c r="F103" s="38">
        <f t="shared" si="17"/>
        <v>-0.002583056189062627</v>
      </c>
      <c r="G103" s="39">
        <v>0.006917615088394233</v>
      </c>
      <c r="H103" s="61">
        <v>-0.005387268083874559</v>
      </c>
      <c r="I103" s="41">
        <f t="shared" si="15"/>
        <v>0.8572720210114574</v>
      </c>
      <c r="J103" s="42">
        <f t="shared" si="16"/>
        <v>1.5318240948266962E-05</v>
      </c>
    </row>
    <row r="104" spans="2:10" ht="12.75">
      <c r="B104" s="32">
        <f t="shared" si="18"/>
        <v>3.120000000000002</v>
      </c>
      <c r="C104" s="37">
        <f t="shared" si="12"/>
        <v>0.771051585803563</v>
      </c>
      <c r="D104" s="89">
        <f t="shared" si="13"/>
        <v>0.771051585803563</v>
      </c>
      <c r="E104" s="88">
        <f t="shared" si="14"/>
        <v>0.002574460336146389</v>
      </c>
      <c r="F104" s="38">
        <f t="shared" si="17"/>
        <v>-0.002574460336146389</v>
      </c>
      <c r="G104" s="39">
        <v>0.006866578951353838</v>
      </c>
      <c r="H104" s="61">
        <v>-0.005474048345535063</v>
      </c>
      <c r="I104" s="41">
        <f t="shared" si="15"/>
        <v>0.8555591903710184</v>
      </c>
      <c r="J104" s="42">
        <f t="shared" si="16"/>
        <v>1.5124348777043038E-05</v>
      </c>
    </row>
    <row r="105" spans="2:10" ht="12.75">
      <c r="B105" s="32">
        <f t="shared" si="18"/>
        <v>3.160000000000002</v>
      </c>
      <c r="C105" s="37">
        <f t="shared" si="12"/>
        <v>0.7684856927151915</v>
      </c>
      <c r="D105" s="89">
        <f t="shared" si="13"/>
        <v>0.7684856927151915</v>
      </c>
      <c r="E105" s="88">
        <f t="shared" si="14"/>
        <v>0.002565893088371518</v>
      </c>
      <c r="F105" s="38">
        <f t="shared" si="17"/>
        <v>-0.002565893088371518</v>
      </c>
      <c r="G105" s="39">
        <v>0.006808678071543695</v>
      </c>
      <c r="H105" s="61">
        <v>-0.00537848591332687</v>
      </c>
      <c r="I105" s="41">
        <f t="shared" si="15"/>
        <v>0.8538497819684816</v>
      </c>
      <c r="J105" s="42">
        <f t="shared" si="16"/>
        <v>1.4917046003945998E-05</v>
      </c>
    </row>
    <row r="106" spans="2:10" ht="12.75">
      <c r="B106" s="32">
        <f t="shared" si="18"/>
        <v>3.200000000000002</v>
      </c>
      <c r="C106" s="37">
        <f t="shared" si="12"/>
        <v>0.7659283383646454</v>
      </c>
      <c r="D106" s="89">
        <f t="shared" si="13"/>
        <v>0.7659283383646454</v>
      </c>
      <c r="E106" s="88">
        <f t="shared" si="14"/>
        <v>0.0025573543505461593</v>
      </c>
      <c r="F106" s="38">
        <f t="shared" si="17"/>
        <v>-0.0025573543505461593</v>
      </c>
      <c r="G106" s="39">
        <v>0.006750005675355716</v>
      </c>
      <c r="H106" s="61">
        <v>-0.005187090644534784</v>
      </c>
      <c r="I106" s="41">
        <f t="shared" si="15"/>
        <v>0.8521437889662112</v>
      </c>
      <c r="J106" s="42">
        <f t="shared" si="16"/>
        <v>1.4709839343450507E-05</v>
      </c>
    </row>
    <row r="107" spans="2:10" ht="12.75">
      <c r="B107" s="32">
        <f t="shared" si="18"/>
        <v>3.240000000000002</v>
      </c>
      <c r="C107" s="37">
        <f t="shared" si="12"/>
        <v>0.7633794943368498</v>
      </c>
      <c r="D107" s="89">
        <f t="shared" si="13"/>
        <v>0.7633794943368498</v>
      </c>
      <c r="E107" s="88">
        <f t="shared" si="14"/>
        <v>0.002548844027795538</v>
      </c>
      <c r="F107" s="38">
        <f t="shared" si="17"/>
        <v>-0.002548844027795538</v>
      </c>
      <c r="G107" s="39">
        <v>0.0066712938842048725</v>
      </c>
      <c r="H107" s="61">
        <v>-0.005297828758972654</v>
      </c>
      <c r="I107" s="41">
        <f t="shared" si="15"/>
        <v>0.8504412045402329</v>
      </c>
      <c r="J107" s="42">
        <f t="shared" si="16"/>
        <v>1.4460976718901167E-05</v>
      </c>
    </row>
    <row r="108" spans="2:10" ht="12.75">
      <c r="B108" s="32">
        <f t="shared" si="18"/>
        <v>3.280000000000002</v>
      </c>
      <c r="C108" s="37">
        <f t="shared" si="12"/>
        <v>0.7608391323112895</v>
      </c>
      <c r="D108" s="89">
        <f t="shared" si="13"/>
        <v>0.7608391323112895</v>
      </c>
      <c r="E108" s="88">
        <f t="shared" si="14"/>
        <v>0.0025403620255602943</v>
      </c>
      <c r="F108" s="38">
        <f t="shared" si="17"/>
        <v>-0.0025403620255602943</v>
      </c>
      <c r="G108" s="39">
        <v>0.006592780226567294</v>
      </c>
      <c r="H108" s="61">
        <v>-0.0051419328712572565</v>
      </c>
      <c r="I108" s="41">
        <f t="shared" si="15"/>
        <v>0.8487420218802066</v>
      </c>
      <c r="J108" s="42">
        <f t="shared" si="16"/>
        <v>1.4214772572270367E-05</v>
      </c>
    </row>
    <row r="109" spans="2:10" ht="12.75">
      <c r="B109" s="32">
        <f t="shared" si="18"/>
        <v>3.320000000000002</v>
      </c>
      <c r="C109" s="37">
        <f t="shared" si="12"/>
        <v>0.7583072240616936</v>
      </c>
      <c r="D109" s="89">
        <f t="shared" si="13"/>
        <v>0.7583072240616936</v>
      </c>
      <c r="E109" s="88">
        <f t="shared" si="14"/>
        <v>0.0025319082495959266</v>
      </c>
      <c r="F109" s="38">
        <f t="shared" si="17"/>
        <v>-0.0025319082495959266</v>
      </c>
      <c r="G109" s="39">
        <v>0.0065079521519465135</v>
      </c>
      <c r="H109" s="61">
        <v>-0.0050400298584720345</v>
      </c>
      <c r="I109" s="41">
        <f t="shared" si="15"/>
        <v>0.8470462341893995</v>
      </c>
      <c r="J109" s="42">
        <f t="shared" si="16"/>
        <v>1.3957236292641912E-05</v>
      </c>
    </row>
    <row r="110" spans="2:10" ht="12.75">
      <c r="B110" s="32">
        <f t="shared" si="18"/>
        <v>3.360000000000002</v>
      </c>
      <c r="C110" s="37">
        <f t="shared" si="12"/>
        <v>0.755783741455722</v>
      </c>
      <c r="D110" s="89">
        <f t="shared" si="13"/>
        <v>0.755783741455722</v>
      </c>
      <c r="E110" s="88">
        <f t="shared" si="14"/>
        <v>0.002523482605971572</v>
      </c>
      <c r="F110" s="38">
        <f t="shared" si="17"/>
        <v>-0.002523482605971572</v>
      </c>
      <c r="G110" s="39">
        <v>0.006424959216054302</v>
      </c>
      <c r="H110" s="61">
        <v>-0.005101408071186444</v>
      </c>
      <c r="I110" s="41">
        <f t="shared" si="15"/>
        <v>0.8453538346846586</v>
      </c>
      <c r="J110" s="42">
        <f t="shared" si="16"/>
        <v>1.370595235606996E-05</v>
      </c>
    </row>
    <row r="111" spans="2:10" ht="12.75">
      <c r="B111" s="32">
        <f t="shared" si="18"/>
        <v>3.400000000000002</v>
      </c>
      <c r="C111" s="37">
        <f t="shared" si="12"/>
        <v>0.7532686564546534</v>
      </c>
      <c r="D111" s="89">
        <f t="shared" si="13"/>
        <v>0.7532686564546534</v>
      </c>
      <c r="E111" s="88">
        <f t="shared" si="14"/>
        <v>0.002515085001068673</v>
      </c>
      <c r="F111" s="38">
        <f t="shared" si="17"/>
        <v>-0.002515085001068673</v>
      </c>
      <c r="G111" s="39">
        <v>0.006352795582028805</v>
      </c>
      <c r="H111" s="61">
        <v>-0.005051926788582482</v>
      </c>
      <c r="I111" s="41">
        <f t="shared" si="15"/>
        <v>0.8436648165963836</v>
      </c>
      <c r="J111" s="42">
        <f t="shared" si="16"/>
        <v>1.3479925325048276E-05</v>
      </c>
    </row>
    <row r="112" spans="2:10" ht="12.75">
      <c r="B112" s="32">
        <f t="shared" si="18"/>
        <v>3.440000000000002</v>
      </c>
      <c r="C112" s="37">
        <f t="shared" si="12"/>
        <v>0.7507619411130727</v>
      </c>
      <c r="D112" s="89">
        <f t="shared" si="13"/>
        <v>0.7507619411130727</v>
      </c>
      <c r="E112" s="88">
        <f t="shared" si="14"/>
        <v>0.0025067153415806454</v>
      </c>
      <c r="F112" s="38">
        <f t="shared" si="17"/>
        <v>-0.0025067153415806454</v>
      </c>
      <c r="G112" s="39">
        <v>0.006281869937921446</v>
      </c>
      <c r="H112" s="61">
        <v>-0.004962530824209782</v>
      </c>
      <c r="I112" s="41">
        <f t="shared" si="15"/>
        <v>0.8419791731684998</v>
      </c>
      <c r="J112" s="42">
        <f t="shared" si="16"/>
        <v>1.3258527949949425E-05</v>
      </c>
    </row>
    <row r="113" spans="2:10" ht="12.75">
      <c r="B113" s="32">
        <f t="shared" si="18"/>
        <v>3.480000000000002</v>
      </c>
      <c r="C113" s="37">
        <f t="shared" si="12"/>
        <v>0.7482635675785617</v>
      </c>
      <c r="D113" s="89">
        <f t="shared" si="13"/>
        <v>0.7482635675785617</v>
      </c>
      <c r="E113" s="88">
        <f t="shared" si="14"/>
        <v>0.002498373534510989</v>
      </c>
      <c r="F113" s="38">
        <f t="shared" si="17"/>
        <v>-0.002498373534510989</v>
      </c>
      <c r="G113" s="39">
        <v>0.006206509030569638</v>
      </c>
      <c r="H113" s="61">
        <v>-0.0049307331640996545</v>
      </c>
      <c r="I113" s="41">
        <f t="shared" si="15"/>
        <v>0.8402968976584313</v>
      </c>
      <c r="J113" s="42">
        <f t="shared" si="16"/>
        <v>1.3029793187000878E-05</v>
      </c>
    </row>
    <row r="114" spans="2:10" ht="12.75">
      <c r="B114" s="32">
        <f t="shared" si="18"/>
        <v>3.5200000000000022</v>
      </c>
      <c r="C114" s="37">
        <f t="shared" si="12"/>
        <v>0.7457735080913886</v>
      </c>
      <c r="D114" s="89">
        <f t="shared" si="13"/>
        <v>0.7457735080913886</v>
      </c>
      <c r="E114" s="88">
        <f t="shared" si="14"/>
        <v>0.0024900594871730686</v>
      </c>
      <c r="F114" s="38">
        <f t="shared" si="17"/>
        <v>-0.0024900594871730686</v>
      </c>
      <c r="G114" s="39">
        <v>0.006137424282223166</v>
      </c>
      <c r="H114" s="61">
        <v>-0.004858914988460013</v>
      </c>
      <c r="I114" s="41">
        <f t="shared" si="15"/>
        <v>0.8386179833370739</v>
      </c>
      <c r="J114" s="42">
        <f t="shared" si="16"/>
        <v>1.2816222570126177E-05</v>
      </c>
    </row>
    <row r="115" spans="2:10" ht="12.75">
      <c r="B115" s="32">
        <f t="shared" si="18"/>
        <v>3.5600000000000023</v>
      </c>
      <c r="C115" s="37">
        <f t="shared" si="12"/>
        <v>0.7432917349842003</v>
      </c>
      <c r="D115" s="89">
        <f t="shared" si="13"/>
        <v>0.7432917349842003</v>
      </c>
      <c r="E115" s="88">
        <f t="shared" si="14"/>
        <v>0.002481773107188334</v>
      </c>
      <c r="F115" s="38">
        <f t="shared" si="17"/>
        <v>-0.002481773107188334</v>
      </c>
      <c r="G115" s="39">
        <v>0.006074004393120691</v>
      </c>
      <c r="H115" s="61">
        <v>-0.00478709986661745</v>
      </c>
      <c r="I115" s="41">
        <f t="shared" si="15"/>
        <v>0.836942423488768</v>
      </c>
      <c r="J115" s="42">
        <f t="shared" si="16"/>
        <v>1.2616321806950061E-05</v>
      </c>
    </row>
    <row r="116" spans="2:10" ht="12.75">
      <c r="B116" s="32">
        <f t="shared" si="18"/>
        <v>3.6000000000000023</v>
      </c>
      <c r="C116" s="37">
        <f t="shared" si="12"/>
        <v>0.7408182206817143</v>
      </c>
      <c r="D116" s="89">
        <f t="shared" si="13"/>
        <v>0.7408182206817143</v>
      </c>
      <c r="E116" s="88">
        <f t="shared" si="14"/>
        <v>0.0024735143024859907</v>
      </c>
      <c r="F116" s="38">
        <f t="shared" si="17"/>
        <v>-0.0024735143024859907</v>
      </c>
      <c r="G116" s="39">
        <v>0.006003638778545508</v>
      </c>
      <c r="H116" s="61">
        <v>-0.004619821411131976</v>
      </c>
      <c r="I116" s="41">
        <f t="shared" si="15"/>
        <v>0.8352702114112719</v>
      </c>
      <c r="J116" s="42">
        <f t="shared" si="16"/>
        <v>1.2403834794852471E-05</v>
      </c>
    </row>
    <row r="117" spans="2:10" ht="12.75">
      <c r="B117" s="32">
        <f t="shared" si="18"/>
        <v>3.6400000000000023</v>
      </c>
      <c r="C117" s="37">
        <f t="shared" si="12"/>
        <v>0.7383529377004131</v>
      </c>
      <c r="D117" s="89">
        <f t="shared" si="13"/>
        <v>0.7383529377004131</v>
      </c>
      <c r="E117" s="88">
        <f t="shared" si="14"/>
        <v>0.00246528298130122</v>
      </c>
      <c r="F117" s="38">
        <f t="shared" si="17"/>
        <v>-0.00246528298130122</v>
      </c>
      <c r="G117" s="39">
        <v>0.0059383294092244365</v>
      </c>
      <c r="H117" s="61">
        <v>-0.004571100720819995</v>
      </c>
      <c r="I117" s="41">
        <f t="shared" si="15"/>
        <v>0.8336013404157352</v>
      </c>
      <c r="J117" s="42">
        <f t="shared" si="16"/>
        <v>1.2203642224816467E-05</v>
      </c>
    </row>
    <row r="118" spans="2:10" ht="12.75">
      <c r="B118" s="32">
        <f t="shared" si="18"/>
        <v>3.6800000000000024</v>
      </c>
      <c r="C118" s="37">
        <f t="shared" si="12"/>
        <v>0.7358958586482381</v>
      </c>
      <c r="D118" s="89">
        <f t="shared" si="13"/>
        <v>0.7358958586482381</v>
      </c>
      <c r="E118" s="88">
        <f t="shared" si="14"/>
        <v>0.0024570790521749597</v>
      </c>
      <c r="F118" s="38">
        <f t="shared" si="17"/>
        <v>-0.0024570790521749597</v>
      </c>
      <c r="G118" s="39">
        <v>0.005865806817621657</v>
      </c>
      <c r="H118" s="61">
        <v>-0.004615318548036974</v>
      </c>
      <c r="I118" s="41">
        <f t="shared" si="15"/>
        <v>0.8319358038266716</v>
      </c>
      <c r="J118" s="42">
        <f t="shared" si="16"/>
        <v>1.1990483634863545E-05</v>
      </c>
    </row>
    <row r="119" spans="2:10" ht="12.75">
      <c r="B119" s="32">
        <f t="shared" si="18"/>
        <v>3.7200000000000024</v>
      </c>
      <c r="C119" s="37">
        <f t="shared" si="12"/>
        <v>0.7334469562242857</v>
      </c>
      <c r="D119" s="89">
        <f t="shared" si="13"/>
        <v>0.7334469562242857</v>
      </c>
      <c r="E119" s="88">
        <f t="shared" si="14"/>
        <v>0.0024489024239524593</v>
      </c>
      <c r="F119" s="38">
        <f t="shared" si="17"/>
        <v>-0.0024489024239524593</v>
      </c>
      <c r="G119" s="39">
        <v>0.005787437459747054</v>
      </c>
      <c r="H119" s="61">
        <v>-0.004566759226812164</v>
      </c>
      <c r="I119" s="41">
        <f t="shared" si="15"/>
        <v>0.8302735949819325</v>
      </c>
      <c r="J119" s="42">
        <f t="shared" si="16"/>
        <v>1.1767359413636308E-05</v>
      </c>
    </row>
    <row r="120" spans="2:10" ht="12.75">
      <c r="B120" s="32">
        <f t="shared" si="18"/>
        <v>3.7600000000000025</v>
      </c>
      <c r="C120" s="37">
        <f t="shared" si="12"/>
        <v>0.7310062032185037</v>
      </c>
      <c r="D120" s="89">
        <f t="shared" si="13"/>
        <v>0.7310062032185037</v>
      </c>
      <c r="E120" s="88">
        <f t="shared" si="14"/>
        <v>0.002440753005781948</v>
      </c>
      <c r="F120" s="38">
        <f t="shared" si="17"/>
        <v>-0.002440753005781948</v>
      </c>
      <c r="G120" s="39">
        <v>0.0056988028494504486</v>
      </c>
      <c r="H120" s="61">
        <v>-0.004451544284203137</v>
      </c>
      <c r="I120" s="41">
        <f t="shared" si="15"/>
        <v>0.8286147072326805</v>
      </c>
      <c r="J120" s="42">
        <f t="shared" si="16"/>
        <v>1.15255087029345E-05</v>
      </c>
    </row>
    <row r="121" spans="2:10" ht="12.75">
      <c r="B121" s="32">
        <f t="shared" si="18"/>
        <v>3.8000000000000025</v>
      </c>
      <c r="C121" s="37">
        <f t="shared" si="12"/>
        <v>0.7285735725113893</v>
      </c>
      <c r="D121" s="89">
        <f t="shared" si="13"/>
        <v>0.7285735725113893</v>
      </c>
      <c r="E121" s="88">
        <f t="shared" si="14"/>
        <v>0.0024326307071144138</v>
      </c>
      <c r="F121" s="38">
        <f t="shared" si="17"/>
        <v>-0.0024326307071144138</v>
      </c>
      <c r="G121" s="39">
        <v>0.005587378312317252</v>
      </c>
      <c r="H121" s="61">
        <v>-0.004361530617988692</v>
      </c>
      <c r="I121" s="41">
        <f t="shared" si="15"/>
        <v>0.8269591339433622</v>
      </c>
      <c r="J121" s="42">
        <f t="shared" si="16"/>
        <v>1.1240051748737952E-05</v>
      </c>
    </row>
    <row r="122" spans="2:10" ht="12.75">
      <c r="B122" s="32">
        <f t="shared" si="18"/>
        <v>3.8400000000000025</v>
      </c>
      <c r="C122" s="37">
        <f t="shared" si="12"/>
        <v>0.7261490370736873</v>
      </c>
      <c r="D122" s="89">
        <f t="shared" si="13"/>
        <v>0.7261490370736873</v>
      </c>
      <c r="E122" s="88">
        <f t="shared" si="14"/>
        <v>0.0024245354377020467</v>
      </c>
      <c r="F122" s="38">
        <f t="shared" si="17"/>
        <v>-0.0024245354377020467</v>
      </c>
      <c r="G122" s="39">
        <v>0.005463550403016472</v>
      </c>
      <c r="H122" s="61">
        <v>-0.004356650746073037</v>
      </c>
      <c r="I122" s="41">
        <f t="shared" si="15"/>
        <v>0.8253068684916822</v>
      </c>
      <c r="J122" s="42">
        <f t="shared" si="16"/>
        <v>1.0932486498859372E-05</v>
      </c>
    </row>
    <row r="123" spans="2:10" ht="12.75">
      <c r="B123" s="32">
        <f t="shared" si="18"/>
        <v>3.8800000000000026</v>
      </c>
      <c r="C123" s="37">
        <f aca="true" t="shared" si="19" ref="C123:C151">C122*EXP(-(B123-B122)*SpreadCntrpty/10000/(1-CntrptyRec))</f>
        <v>0.72373256996609</v>
      </c>
      <c r="D123" s="89">
        <f aca="true" t="shared" si="20" ref="D123:D151">D122*EXP(-(B123-B122)*SpreadInstitution/10000/(1-InstitutionRecovery))</f>
        <v>0.72373256996609</v>
      </c>
      <c r="E123" s="88">
        <f aca="true" t="shared" si="21" ref="E123:E151">C122-C123</f>
        <v>0.002416467107597242</v>
      </c>
      <c r="F123" s="38">
        <f t="shared" si="17"/>
        <v>-0.002416467107597242</v>
      </c>
      <c r="G123" s="39">
        <v>0.0053267911953677576</v>
      </c>
      <c r="H123" s="61">
        <v>-0.004249136595912228</v>
      </c>
      <c r="I123" s="41">
        <f aca="true" t="shared" si="22" ref="I123:I151">EXP(-IRate*B123)</f>
        <v>0.8236579042685768</v>
      </c>
      <c r="J123" s="42">
        <f aca="true" t="shared" si="23" ref="J123:J151">E123*G123*I123</f>
        <v>1.060213748558919E-05</v>
      </c>
    </row>
    <row r="124" spans="2:10" ht="12.75">
      <c r="B124" s="32">
        <f t="shared" si="18"/>
        <v>3.9200000000000026</v>
      </c>
      <c r="C124" s="37">
        <f t="shared" si="19"/>
        <v>0.7213241443389383</v>
      </c>
      <c r="D124" s="89">
        <f t="shared" si="20"/>
        <v>0.7213241443389383</v>
      </c>
      <c r="E124" s="88">
        <f t="shared" si="21"/>
        <v>0.0024084256271517113</v>
      </c>
      <c r="F124" s="38">
        <f t="shared" si="17"/>
        <v>-0.0024084256271517113</v>
      </c>
      <c r="G124" s="39">
        <v>0.005180550754206472</v>
      </c>
      <c r="H124" s="61">
        <v>-0.003981326118867256</v>
      </c>
      <c r="I124" s="41">
        <f t="shared" si="22"/>
        <v>0.8220122346781864</v>
      </c>
      <c r="J124" s="42">
        <f t="shared" si="23"/>
        <v>1.025622297746236E-05</v>
      </c>
    </row>
    <row r="125" spans="2:10" ht="12.75">
      <c r="B125" s="32">
        <f t="shared" si="18"/>
        <v>3.9600000000000026</v>
      </c>
      <c r="C125" s="37">
        <f t="shared" si="19"/>
        <v>0.7189237334319225</v>
      </c>
      <c r="D125" s="89">
        <f t="shared" si="20"/>
        <v>0.7189237334319225</v>
      </c>
      <c r="E125" s="88">
        <f t="shared" si="21"/>
        <v>0.0024004109070158153</v>
      </c>
      <c r="F125" s="38">
        <f t="shared" si="17"/>
        <v>-0.0024004109070158153</v>
      </c>
      <c r="G125" s="39">
        <v>0.00505143243105273</v>
      </c>
      <c r="H125" s="61">
        <v>-0.003979975786474503</v>
      </c>
      <c r="I125" s="41">
        <f t="shared" si="22"/>
        <v>0.820369853137831</v>
      </c>
      <c r="J125" s="42">
        <f t="shared" si="23"/>
        <v>9.94740573213006E-06</v>
      </c>
    </row>
    <row r="126" spans="2:10" ht="12.75">
      <c r="B126" s="32">
        <f t="shared" si="18"/>
        <v>4.000000000000003</v>
      </c>
      <c r="C126" s="37">
        <f t="shared" si="19"/>
        <v>0.7165313105737856</v>
      </c>
      <c r="D126" s="89">
        <f t="shared" si="20"/>
        <v>0.7165313105737856</v>
      </c>
      <c r="E126" s="88">
        <f t="shared" si="21"/>
        <v>0.0023924228581369</v>
      </c>
      <c r="F126" s="38">
        <f t="shared" si="17"/>
        <v>-0.0023924228581369</v>
      </c>
      <c r="G126" s="39">
        <v>0.004917384773974142</v>
      </c>
      <c r="H126" s="61">
        <v>-0.003923775201922743</v>
      </c>
      <c r="I126" s="41">
        <f t="shared" si="22"/>
        <v>0.8187307530779817</v>
      </c>
      <c r="J126" s="42">
        <f t="shared" si="23"/>
        <v>9.631928253732783E-06</v>
      </c>
    </row>
    <row r="127" spans="2:10" ht="12.75">
      <c r="B127" s="32">
        <f t="shared" si="18"/>
        <v>4.040000000000003</v>
      </c>
      <c r="C127" s="37">
        <f t="shared" si="19"/>
        <v>0.7141468491820268</v>
      </c>
      <c r="D127" s="89">
        <f t="shared" si="20"/>
        <v>0.7141468491820268</v>
      </c>
      <c r="E127" s="88">
        <f t="shared" si="21"/>
        <v>0.002384461391758852</v>
      </c>
      <c r="F127" s="38">
        <f t="shared" si="17"/>
        <v>-0.002384461391758852</v>
      </c>
      <c r="G127" s="39">
        <v>0.0047734715882910336</v>
      </c>
      <c r="H127" s="61">
        <v>-0.003670656381080839</v>
      </c>
      <c r="I127" s="41">
        <f t="shared" si="22"/>
        <v>0.8170949279422365</v>
      </c>
      <c r="J127" s="42">
        <f t="shared" si="23"/>
        <v>9.30030414847242E-06</v>
      </c>
    </row>
    <row r="128" spans="2:10" ht="12.75">
      <c r="B128" s="32">
        <f t="shared" si="18"/>
        <v>4.080000000000003</v>
      </c>
      <c r="C128" s="37">
        <f t="shared" si="19"/>
        <v>0.711770322762606</v>
      </c>
      <c r="D128" s="89">
        <f t="shared" si="20"/>
        <v>0.711770322762606</v>
      </c>
      <c r="E128" s="88">
        <f t="shared" si="21"/>
        <v>0.002376526419420766</v>
      </c>
      <c r="F128" s="38">
        <f t="shared" si="17"/>
        <v>-0.002376526419420766</v>
      </c>
      <c r="G128" s="39">
        <v>0.004616069772032404</v>
      </c>
      <c r="H128" s="61">
        <v>-0.003547791093527478</v>
      </c>
      <c r="I128" s="41">
        <f t="shared" si="22"/>
        <v>0.8154623711872926</v>
      </c>
      <c r="J128" s="42">
        <f t="shared" si="23"/>
        <v>8.945794900046165E-06</v>
      </c>
    </row>
    <row r="129" spans="2:10" ht="12.75">
      <c r="B129" s="32">
        <f t="shared" si="18"/>
        <v>4.120000000000003</v>
      </c>
      <c r="C129" s="37">
        <f t="shared" si="19"/>
        <v>0.7094017049096498</v>
      </c>
      <c r="D129" s="89">
        <f t="shared" si="20"/>
        <v>0.7094017049096498</v>
      </c>
      <c r="E129" s="88">
        <f t="shared" si="21"/>
        <v>0.0023686178529561674</v>
      </c>
      <c r="F129" s="38">
        <f t="shared" si="17"/>
        <v>-0.0023686178529561674</v>
      </c>
      <c r="G129" s="39">
        <v>0.0044548337417305</v>
      </c>
      <c r="H129" s="61">
        <v>-0.0035575517694086765</v>
      </c>
      <c r="I129" s="41">
        <f t="shared" si="22"/>
        <v>0.8138330762829206</v>
      </c>
      <c r="J129" s="42">
        <f t="shared" si="23"/>
        <v>8.587402822881789E-06</v>
      </c>
    </row>
    <row r="130" spans="2:10" ht="12.75">
      <c r="B130" s="32">
        <f t="shared" si="18"/>
        <v>4.160000000000003</v>
      </c>
      <c r="C130" s="37">
        <f t="shared" si="19"/>
        <v>0.7070409693051577</v>
      </c>
      <c r="D130" s="89">
        <f t="shared" si="20"/>
        <v>0.7070409693051577</v>
      </c>
      <c r="E130" s="88">
        <f t="shared" si="21"/>
        <v>0.0023607356044921257</v>
      </c>
      <c r="F130" s="38">
        <f t="shared" si="17"/>
        <v>-0.0023607356044921257</v>
      </c>
      <c r="G130" s="39">
        <v>0.004272367433497945</v>
      </c>
      <c r="H130" s="61">
        <v>-0.0033829737207154765</v>
      </c>
      <c r="I130" s="41">
        <f t="shared" si="22"/>
        <v>0.8122070367119388</v>
      </c>
      <c r="J130" s="42">
        <f t="shared" si="23"/>
        <v>8.191863249340368E-06</v>
      </c>
    </row>
    <row r="131" spans="2:10" ht="12.75">
      <c r="B131" s="32">
        <f t="shared" si="18"/>
        <v>4.200000000000003</v>
      </c>
      <c r="C131" s="37">
        <f t="shared" si="19"/>
        <v>0.7046880897187097</v>
      </c>
      <c r="D131" s="89">
        <f t="shared" si="20"/>
        <v>0.7046880897187097</v>
      </c>
      <c r="E131" s="88">
        <f t="shared" si="21"/>
        <v>0.002352879586448031</v>
      </c>
      <c r="F131" s="38">
        <f t="shared" si="17"/>
        <v>-0.002352879586448031</v>
      </c>
      <c r="G131" s="39">
        <v>0.004085489892178044</v>
      </c>
      <c r="H131" s="61">
        <v>-0.0031926011339481865</v>
      </c>
      <c r="I131" s="41">
        <f t="shared" si="22"/>
        <v>0.810584245970187</v>
      </c>
      <c r="J131" s="42">
        <f t="shared" si="23"/>
        <v>7.791875433273523E-06</v>
      </c>
    </row>
    <row r="132" spans="2:10" ht="12.75">
      <c r="B132" s="32">
        <f t="shared" si="18"/>
        <v>4.240000000000003</v>
      </c>
      <c r="C132" s="37">
        <f t="shared" si="19"/>
        <v>0.7023430400071751</v>
      </c>
      <c r="D132" s="89">
        <f t="shared" si="20"/>
        <v>0.7023430400071751</v>
      </c>
      <c r="E132" s="88">
        <f t="shared" si="21"/>
        <v>0.002345049711534597</v>
      </c>
      <c r="F132" s="38">
        <f t="shared" si="17"/>
        <v>-0.002345049711534597</v>
      </c>
      <c r="G132" s="39">
        <v>0.0038951033841496206</v>
      </c>
      <c r="H132" s="61">
        <v>-0.0030433603230553665</v>
      </c>
      <c r="I132" s="41">
        <f t="shared" si="22"/>
        <v>0.8089646975664997</v>
      </c>
      <c r="J132" s="42">
        <f t="shared" si="23"/>
        <v>7.389254293645793E-06</v>
      </c>
    </row>
    <row r="133" spans="2:10" ht="12.75">
      <c r="B133" s="32">
        <f t="shared" si="18"/>
        <v>4.280000000000003</v>
      </c>
      <c r="C133" s="37">
        <f t="shared" si="19"/>
        <v>0.7000057941144219</v>
      </c>
      <c r="D133" s="89">
        <f t="shared" si="20"/>
        <v>0.7000057941144219</v>
      </c>
      <c r="E133" s="88">
        <f t="shared" si="21"/>
        <v>0.0023372458927531925</v>
      </c>
      <c r="F133" s="38">
        <f t="shared" si="17"/>
        <v>-0.0023372458927531925</v>
      </c>
      <c r="G133" s="39">
        <v>0.003707514333040734</v>
      </c>
      <c r="H133" s="61">
        <v>-0.0028641180371121165</v>
      </c>
      <c r="I133" s="41">
        <f t="shared" si="22"/>
        <v>0.8073483850226814</v>
      </c>
      <c r="J133" s="42">
        <f t="shared" si="23"/>
        <v>6.995974612355244E-06</v>
      </c>
    </row>
    <row r="134" spans="2:10" ht="12.75">
      <c r="B134" s="32">
        <f t="shared" si="18"/>
        <v>4.320000000000003</v>
      </c>
      <c r="C134" s="37">
        <f t="shared" si="19"/>
        <v>0.6976763260710273</v>
      </c>
      <c r="D134" s="89">
        <f t="shared" si="20"/>
        <v>0.6976763260710273</v>
      </c>
      <c r="E134" s="88">
        <f t="shared" si="21"/>
        <v>0.0023294680433946224</v>
      </c>
      <c r="F134" s="38">
        <f t="shared" si="17"/>
        <v>-0.0023294680433946224</v>
      </c>
      <c r="G134" s="39">
        <v>0.0035100192606923493</v>
      </c>
      <c r="H134" s="61">
        <v>-0.0027485560744052754</v>
      </c>
      <c r="I134" s="41">
        <f t="shared" si="22"/>
        <v>0.8057353018734795</v>
      </c>
      <c r="J134" s="42">
        <f t="shared" si="23"/>
        <v>6.5880767274542625E-06</v>
      </c>
    </row>
    <row r="135" spans="2:10" ht="12.75">
      <c r="B135" s="32">
        <f t="shared" si="18"/>
        <v>4.360000000000003</v>
      </c>
      <c r="C135" s="37">
        <f t="shared" si="19"/>
        <v>0.6953546099939889</v>
      </c>
      <c r="D135" s="89">
        <f t="shared" si="20"/>
        <v>0.6953546099939889</v>
      </c>
      <c r="E135" s="88">
        <f t="shared" si="21"/>
        <v>0.0023217160770383494</v>
      </c>
      <c r="F135" s="38">
        <f t="shared" si="17"/>
        <v>-0.0023217160770383494</v>
      </c>
      <c r="G135" s="39">
        <v>0.0033106563333280634</v>
      </c>
      <c r="H135" s="61">
        <v>-0.0026219862760632627</v>
      </c>
      <c r="I135" s="41">
        <f t="shared" si="22"/>
        <v>0.8041254416665595</v>
      </c>
      <c r="J135" s="42">
        <f t="shared" si="23"/>
        <v>6.180833039179779E-06</v>
      </c>
    </row>
    <row r="136" spans="2:10" ht="12.75">
      <c r="B136" s="32">
        <f t="shared" si="18"/>
        <v>4.400000000000003</v>
      </c>
      <c r="C136" s="37">
        <f t="shared" si="19"/>
        <v>0.6930406200864376</v>
      </c>
      <c r="D136" s="89">
        <f t="shared" si="20"/>
        <v>0.6930406200864376</v>
      </c>
      <c r="E136" s="88">
        <f t="shared" si="21"/>
        <v>0.0023139899075512727</v>
      </c>
      <c r="F136" s="38">
        <f t="shared" si="17"/>
        <v>-0.0023139899075512727</v>
      </c>
      <c r="G136" s="39">
        <v>0.0031133419290748617</v>
      </c>
      <c r="H136" s="61">
        <v>-0.002420052471092689</v>
      </c>
      <c r="I136" s="41">
        <f t="shared" si="22"/>
        <v>0.8025187979624784</v>
      </c>
      <c r="J136" s="42">
        <f t="shared" si="23"/>
        <v>5.781539471682032E-06</v>
      </c>
    </row>
    <row r="137" spans="2:10" ht="12.75">
      <c r="B137" s="32">
        <f t="shared" si="18"/>
        <v>4.440000000000003</v>
      </c>
      <c r="C137" s="37">
        <f t="shared" si="19"/>
        <v>0.6907343306373508</v>
      </c>
      <c r="D137" s="89">
        <f t="shared" si="20"/>
        <v>0.6907343306373508</v>
      </c>
      <c r="E137" s="88">
        <f t="shared" si="21"/>
        <v>0.00230628944908684</v>
      </c>
      <c r="F137" s="38">
        <f t="shared" si="17"/>
        <v>-0.00230628944908684</v>
      </c>
      <c r="G137" s="39">
        <v>0.0029075788798869906</v>
      </c>
      <c r="H137" s="61">
        <v>-0.0022858173464408954</v>
      </c>
      <c r="I137" s="41">
        <f t="shared" si="22"/>
        <v>0.800915364334659</v>
      </c>
      <c r="J137" s="42">
        <f t="shared" si="23"/>
        <v>5.3707129700037E-06</v>
      </c>
    </row>
    <row r="138" spans="2:10" ht="12.75">
      <c r="B138" s="32">
        <f t="shared" si="18"/>
        <v>4.480000000000003</v>
      </c>
      <c r="C138" s="37">
        <f t="shared" si="19"/>
        <v>0.6884357160212662</v>
      </c>
      <c r="D138" s="89">
        <f t="shared" si="20"/>
        <v>0.6884357160212662</v>
      </c>
      <c r="E138" s="88">
        <f t="shared" si="21"/>
        <v>0.0022986146160846044</v>
      </c>
      <c r="F138" s="38">
        <f t="shared" si="17"/>
        <v>-0.0022986146160846044</v>
      </c>
      <c r="G138" s="39">
        <v>0.0026810862637907185</v>
      </c>
      <c r="H138" s="61">
        <v>-0.0021250060538040806</v>
      </c>
      <c r="I138" s="41">
        <f t="shared" si="22"/>
        <v>0.799315134369365</v>
      </c>
      <c r="J138" s="42">
        <f t="shared" si="23"/>
        <v>4.92600657934583E-06</v>
      </c>
    </row>
    <row r="139" spans="2:10" ht="12.75">
      <c r="B139" s="32">
        <f t="shared" si="18"/>
        <v>4.520000000000003</v>
      </c>
      <c r="C139" s="37">
        <f t="shared" si="19"/>
        <v>0.6861447506979979</v>
      </c>
      <c r="D139" s="89">
        <f t="shared" si="20"/>
        <v>0.6861447506979979</v>
      </c>
      <c r="E139" s="88">
        <f t="shared" si="21"/>
        <v>0.0022909653232683347</v>
      </c>
      <c r="F139" s="38">
        <f t="shared" si="17"/>
        <v>-0.0022909653232683347</v>
      </c>
      <c r="G139" s="39">
        <v>0.0024617464162547883</v>
      </c>
      <c r="H139" s="61">
        <v>-0.0019277140126347887</v>
      </c>
      <c r="I139" s="41">
        <f t="shared" si="22"/>
        <v>0.7977181016656741</v>
      </c>
      <c r="J139" s="42">
        <f t="shared" si="23"/>
        <v>4.49895114473865E-06</v>
      </c>
    </row>
    <row r="140" spans="2:10" ht="12.75">
      <c r="B140" s="32">
        <f t="shared" si="18"/>
        <v>4.560000000000003</v>
      </c>
      <c r="C140" s="37">
        <f t="shared" si="19"/>
        <v>0.683861409212352</v>
      </c>
      <c r="D140" s="89">
        <f t="shared" si="20"/>
        <v>0.683861409212352</v>
      </c>
      <c r="E140" s="88">
        <f t="shared" si="21"/>
        <v>0.0022833414856459067</v>
      </c>
      <c r="F140" s="38">
        <f t="shared" si="17"/>
        <v>-0.0022833414856459067</v>
      </c>
      <c r="G140" s="39">
        <v>0.002241451057036447</v>
      </c>
      <c r="H140" s="61">
        <v>-0.0017880263751401928</v>
      </c>
      <c r="I140" s="41">
        <f t="shared" si="22"/>
        <v>0.7961242598354535</v>
      </c>
      <c r="J140" s="42">
        <f t="shared" si="23"/>
        <v>4.074562518127162E-06</v>
      </c>
    </row>
    <row r="141" spans="2:10" ht="12.75">
      <c r="B141" s="32">
        <f t="shared" si="18"/>
        <v>4.600000000000003</v>
      </c>
      <c r="C141" s="37">
        <f t="shared" si="19"/>
        <v>0.681585666193844</v>
      </c>
      <c r="D141" s="89">
        <f t="shared" si="20"/>
        <v>0.681585666193844</v>
      </c>
      <c r="E141" s="88">
        <f t="shared" si="21"/>
        <v>0.0022757430185079697</v>
      </c>
      <c r="F141" s="38">
        <f t="shared" si="17"/>
        <v>-0.0022757430185079697</v>
      </c>
      <c r="G141" s="39">
        <v>0.0020314954176019837</v>
      </c>
      <c r="H141" s="61">
        <v>-0.001572591652267897</v>
      </c>
      <c r="I141" s="41">
        <f t="shared" si="22"/>
        <v>0.7945336025033338</v>
      </c>
      <c r="J141" s="42">
        <f t="shared" si="23"/>
        <v>3.6732571724655332E-06</v>
      </c>
    </row>
    <row r="142" spans="2:10" ht="12.75">
      <c r="B142" s="32">
        <f t="shared" si="18"/>
        <v>4.640000000000003</v>
      </c>
      <c r="C142" s="37">
        <f t="shared" si="19"/>
        <v>0.679317496356417</v>
      </c>
      <c r="D142" s="89">
        <f t="shared" si="20"/>
        <v>0.679317496356417</v>
      </c>
      <c r="E142" s="88">
        <f t="shared" si="21"/>
        <v>0.0022681698374269477</v>
      </c>
      <c r="F142" s="38">
        <f t="shared" si="17"/>
        <v>-0.0022681698374269477</v>
      </c>
      <c r="G142" s="39">
        <v>0.0018318053656978138</v>
      </c>
      <c r="H142" s="61">
        <v>-0.0014412577836277467</v>
      </c>
      <c r="I142" s="41">
        <f t="shared" si="22"/>
        <v>0.7929461233066836</v>
      </c>
      <c r="J142" s="42">
        <f t="shared" si="23"/>
        <v>3.2945687737141096E-06</v>
      </c>
    </row>
    <row r="143" spans="2:10" ht="12.75">
      <c r="B143" s="32">
        <f t="shared" si="18"/>
        <v>4.680000000000003</v>
      </c>
      <c r="C143" s="37">
        <f t="shared" si="19"/>
        <v>0.6770568744981607</v>
      </c>
      <c r="D143" s="89">
        <f t="shared" si="20"/>
        <v>0.6770568744981607</v>
      </c>
      <c r="E143" s="88">
        <f t="shared" si="21"/>
        <v>0.002260621858256373</v>
      </c>
      <c r="F143" s="38">
        <f t="shared" si="17"/>
        <v>-0.002260621858256373</v>
      </c>
      <c r="G143" s="39">
        <v>0.0016373514122338933</v>
      </c>
      <c r="H143" s="61">
        <v>-0.0012944086261061328</v>
      </c>
      <c r="I143" s="41">
        <f t="shared" si="22"/>
        <v>0.7913618158955837</v>
      </c>
      <c r="J143" s="42">
        <f t="shared" si="23"/>
        <v>2.9291722592609244E-06</v>
      </c>
    </row>
    <row r="144" spans="2:10" ht="12.75">
      <c r="B144" s="32">
        <f t="shared" si="18"/>
        <v>4.720000000000003</v>
      </c>
      <c r="C144" s="37">
        <f t="shared" si="19"/>
        <v>0.674803775501031</v>
      </c>
      <c r="D144" s="89">
        <f t="shared" si="20"/>
        <v>0.674803775501031</v>
      </c>
      <c r="E144" s="88">
        <f t="shared" si="21"/>
        <v>0.0022530989971296655</v>
      </c>
      <c r="F144" s="38">
        <f t="shared" si="17"/>
        <v>-0.0022530989971296655</v>
      </c>
      <c r="G144" s="39">
        <v>0.0014431596257127545</v>
      </c>
      <c r="H144" s="61">
        <v>-0.0011088422360851608</v>
      </c>
      <c r="I144" s="41">
        <f t="shared" si="22"/>
        <v>0.7897806739328026</v>
      </c>
      <c r="J144" s="42">
        <f t="shared" si="23"/>
        <v>2.5680362326754808E-06</v>
      </c>
    </row>
    <row r="145" spans="2:10" ht="12.75">
      <c r="B145" s="32">
        <f t="shared" si="18"/>
        <v>4.760000000000003</v>
      </c>
      <c r="C145" s="37">
        <f t="shared" si="19"/>
        <v>0.6725581743305715</v>
      </c>
      <c r="D145" s="89">
        <f t="shared" si="20"/>
        <v>0.6725581743305715</v>
      </c>
      <c r="E145" s="88">
        <f t="shared" si="21"/>
        <v>0.002245601170459466</v>
      </c>
      <c r="F145" s="38">
        <f t="shared" si="17"/>
        <v>-0.002245601170459466</v>
      </c>
      <c r="G145" s="39">
        <v>0.001244421011599545</v>
      </c>
      <c r="H145" s="61">
        <v>-0.000979027661476532</v>
      </c>
      <c r="I145" s="41">
        <f t="shared" si="22"/>
        <v>0.7882026910937703</v>
      </c>
      <c r="J145" s="42">
        <f t="shared" si="23"/>
        <v>2.202611359637199E-06</v>
      </c>
    </row>
    <row r="146" spans="2:10" ht="12.75">
      <c r="B146" s="32">
        <f t="shared" si="18"/>
        <v>4.800000000000003</v>
      </c>
      <c r="C146" s="37">
        <f t="shared" si="19"/>
        <v>0.6703200460356351</v>
      </c>
      <c r="D146" s="89">
        <f t="shared" si="20"/>
        <v>0.6703200460356351</v>
      </c>
      <c r="E146" s="88">
        <f t="shared" si="21"/>
        <v>0.0022381282949364145</v>
      </c>
      <c r="F146" s="38">
        <f t="shared" si="17"/>
        <v>-0.0022381282949364145</v>
      </c>
      <c r="G146" s="39">
        <v>0.0010403626686485527</v>
      </c>
      <c r="H146" s="61">
        <v>-0.0008059974769890502</v>
      </c>
      <c r="I146" s="41">
        <f t="shared" si="22"/>
        <v>0.7866278610665532</v>
      </c>
      <c r="J146" s="42">
        <f t="shared" si="23"/>
        <v>1.831635541395789E-06</v>
      </c>
    </row>
    <row r="147" spans="2:10" ht="12.75">
      <c r="B147" s="32">
        <f t="shared" si="18"/>
        <v>4.840000000000003</v>
      </c>
      <c r="C147" s="37">
        <f t="shared" si="19"/>
        <v>0.6680893657481065</v>
      </c>
      <c r="D147" s="89">
        <f t="shared" si="20"/>
        <v>0.6680893657481065</v>
      </c>
      <c r="E147" s="88">
        <f t="shared" si="21"/>
        <v>0.002230680287528597</v>
      </c>
      <c r="F147" s="38">
        <f t="shared" si="17"/>
        <v>-0.002230680287528597</v>
      </c>
      <c r="G147" s="39">
        <v>0.0008269999141319803</v>
      </c>
      <c r="H147" s="61">
        <v>-0.0006526822533933691</v>
      </c>
      <c r="I147" s="41">
        <f t="shared" si="22"/>
        <v>0.7850561775518293</v>
      </c>
      <c r="J147" s="42">
        <f t="shared" si="23"/>
        <v>1.448249973697475E-06</v>
      </c>
    </row>
    <row r="148" spans="2:10" ht="12.75">
      <c r="B148" s="32">
        <f t="shared" si="18"/>
        <v>4.8800000000000034</v>
      </c>
      <c r="C148" s="37">
        <f t="shared" si="19"/>
        <v>0.6658661086826262</v>
      </c>
      <c r="D148" s="89">
        <f t="shared" si="20"/>
        <v>0.6658661086826262</v>
      </c>
      <c r="E148" s="88">
        <f t="shared" si="21"/>
        <v>0.002223257065480322</v>
      </c>
      <c r="F148" s="38">
        <f t="shared" si="17"/>
        <v>-0.002223257065480322</v>
      </c>
      <c r="G148" s="39">
        <v>0.0006187606718551699</v>
      </c>
      <c r="H148" s="61">
        <v>-0.00047697208362665165</v>
      </c>
      <c r="I148" s="41">
        <f t="shared" si="22"/>
        <v>0.7834876342628624</v>
      </c>
      <c r="J148" s="42">
        <f t="shared" si="23"/>
        <v>1.0778157607483672E-06</v>
      </c>
    </row>
    <row r="149" spans="2:10" ht="12.75">
      <c r="B149" s="32">
        <f t="shared" si="18"/>
        <v>4.9200000000000035</v>
      </c>
      <c r="C149" s="37">
        <f t="shared" si="19"/>
        <v>0.6636502501363151</v>
      </c>
      <c r="D149" s="89">
        <f t="shared" si="20"/>
        <v>0.6636502501363151</v>
      </c>
      <c r="E149" s="88">
        <f t="shared" si="21"/>
        <v>0.0022158585463111224</v>
      </c>
      <c r="F149" s="38">
        <f t="shared" si="17"/>
        <v>-0.0022158585463111224</v>
      </c>
      <c r="G149" s="39">
        <v>0.00041477574576805846</v>
      </c>
      <c r="H149" s="61">
        <v>-0.0003279824409058612</v>
      </c>
      <c r="I149" s="41">
        <f t="shared" si="22"/>
        <v>0.7819222249254771</v>
      </c>
      <c r="J149" s="42">
        <f t="shared" si="23"/>
        <v>7.186525041348185E-07</v>
      </c>
    </row>
    <row r="150" spans="2:10" ht="12.75">
      <c r="B150" s="32">
        <f t="shared" si="18"/>
        <v>4.9600000000000035</v>
      </c>
      <c r="C150" s="37">
        <f t="shared" si="19"/>
        <v>0.6614417654884999</v>
      </c>
      <c r="D150" s="89">
        <f t="shared" si="20"/>
        <v>0.6614417654884999</v>
      </c>
      <c r="E150" s="88">
        <f t="shared" si="21"/>
        <v>0.002208484647815201</v>
      </c>
      <c r="F150" s="38">
        <f t="shared" si="17"/>
        <v>-0.002208484647815201</v>
      </c>
      <c r="G150" s="39">
        <v>0.00021215093601144753</v>
      </c>
      <c r="H150" s="61">
        <v>-0.00016734491046700814</v>
      </c>
      <c r="I150" s="41">
        <f t="shared" si="22"/>
        <v>0.7803599432780342</v>
      </c>
      <c r="J150" s="42">
        <f t="shared" si="23"/>
        <v>3.656236714313188E-07</v>
      </c>
    </row>
    <row r="151" spans="2:10" ht="13.5" thickBot="1">
      <c r="B151" s="43">
        <f t="shared" si="18"/>
        <v>5.0000000000000036</v>
      </c>
      <c r="C151" s="44">
        <f t="shared" si="19"/>
        <v>0.6592406302004394</v>
      </c>
      <c r="D151" s="90">
        <f t="shared" si="20"/>
        <v>0.6592406302004394</v>
      </c>
      <c r="E151" s="97">
        <f t="shared" si="21"/>
        <v>0.0022011352880604296</v>
      </c>
      <c r="F151" s="45">
        <f t="shared" si="17"/>
        <v>-0.0022011352880604296</v>
      </c>
      <c r="G151" s="40">
        <v>0.000212150936011451</v>
      </c>
      <c r="H151" s="87">
        <v>-0.00016436778925760118</v>
      </c>
      <c r="I151" s="46">
        <f t="shared" si="22"/>
        <v>0.7788007830714048</v>
      </c>
      <c r="J151" s="47">
        <f t="shared" si="23"/>
        <v>3.6367886926604094E-07</v>
      </c>
    </row>
    <row r="159" spans="2:7" ht="12.75">
      <c r="B159" s="48"/>
      <c r="C159" s="49"/>
      <c r="D159" s="38"/>
      <c r="E159" s="50"/>
      <c r="F159" s="51"/>
      <c r="G159" s="52"/>
    </row>
    <row r="160" spans="2:7" ht="12.75">
      <c r="B160" s="48"/>
      <c r="C160" s="49"/>
      <c r="D160" s="38"/>
      <c r="E160" s="50"/>
      <c r="F160" s="51"/>
      <c r="G160" s="52"/>
    </row>
    <row r="161" spans="2:7" ht="12.75">
      <c r="B161" s="48"/>
      <c r="C161" s="49"/>
      <c r="D161" s="38"/>
      <c r="E161" s="50"/>
      <c r="F161" s="51"/>
      <c r="G161" s="52"/>
    </row>
    <row r="162" spans="2:7" ht="12.75">
      <c r="B162" s="48"/>
      <c r="C162" s="49"/>
      <c r="D162" s="38"/>
      <c r="E162" s="50"/>
      <c r="F162" s="51"/>
      <c r="G162" s="52"/>
    </row>
    <row r="163" spans="2:7" ht="12.75">
      <c r="B163" s="48"/>
      <c r="C163" s="49"/>
      <c r="D163" s="38"/>
      <c r="E163" s="50"/>
      <c r="F163" s="51"/>
      <c r="G163" s="52"/>
    </row>
    <row r="164" spans="2:7" ht="12.75">
      <c r="B164" s="48"/>
      <c r="C164" s="49"/>
      <c r="D164" s="38"/>
      <c r="E164" s="50"/>
      <c r="F164" s="51"/>
      <c r="G164" s="52"/>
    </row>
    <row r="165" spans="2:7" ht="12.75">
      <c r="B165" s="48"/>
      <c r="C165" s="49"/>
      <c r="D165" s="38"/>
      <c r="E165" s="50"/>
      <c r="F165" s="51"/>
      <c r="G165" s="52"/>
    </row>
    <row r="166" spans="2:7" ht="12.75">
      <c r="B166" s="48"/>
      <c r="C166" s="49"/>
      <c r="D166" s="38"/>
      <c r="E166" s="50"/>
      <c r="F166" s="51"/>
      <c r="G166" s="52"/>
    </row>
    <row r="167" spans="2:7" ht="12.75">
      <c r="B167" s="48"/>
      <c r="C167" s="49"/>
      <c r="D167" s="38"/>
      <c r="E167" s="50"/>
      <c r="F167" s="51"/>
      <c r="G167" s="52"/>
    </row>
    <row r="168" spans="2:7" ht="12.75">
      <c r="B168" s="48"/>
      <c r="C168" s="49"/>
      <c r="D168" s="38"/>
      <c r="E168" s="50"/>
      <c r="F168" s="51"/>
      <c r="G168" s="52"/>
    </row>
    <row r="169" spans="2:7" ht="12.75">
      <c r="B169" s="48"/>
      <c r="C169" s="49"/>
      <c r="D169" s="38"/>
      <c r="E169" s="50"/>
      <c r="F169" s="51"/>
      <c r="G169" s="52"/>
    </row>
    <row r="170" spans="2:7" ht="12.75">
      <c r="B170" s="48"/>
      <c r="C170" s="49"/>
      <c r="D170" s="38"/>
      <c r="E170" s="50"/>
      <c r="F170" s="51"/>
      <c r="G170" s="52"/>
    </row>
    <row r="171" spans="2:7" ht="12.75">
      <c r="B171" s="48"/>
      <c r="C171" s="49"/>
      <c r="D171" s="38"/>
      <c r="E171" s="50"/>
      <c r="F171" s="51"/>
      <c r="G171" s="52"/>
    </row>
    <row r="172" spans="2:7" ht="12.75">
      <c r="B172" s="48"/>
      <c r="C172" s="49"/>
      <c r="D172" s="38"/>
      <c r="E172" s="50"/>
      <c r="F172" s="51"/>
      <c r="G172" s="52"/>
    </row>
    <row r="173" spans="2:7" ht="12.75">
      <c r="B173" s="48"/>
      <c r="C173" s="49"/>
      <c r="D173" s="38"/>
      <c r="E173" s="50"/>
      <c r="F173" s="51"/>
      <c r="G173" s="52"/>
    </row>
    <row r="174" spans="2:7" ht="12.75">
      <c r="B174" s="48"/>
      <c r="C174" s="49"/>
      <c r="D174" s="38"/>
      <c r="E174" s="50"/>
      <c r="F174" s="51"/>
      <c r="G174" s="52"/>
    </row>
    <row r="175" spans="2:7" ht="12.75">
      <c r="B175" s="48"/>
      <c r="C175" s="49"/>
      <c r="D175" s="38"/>
      <c r="E175" s="50"/>
      <c r="F175" s="51"/>
      <c r="G175" s="52"/>
    </row>
    <row r="176" spans="2:7" ht="12.75">
      <c r="B176" s="48"/>
      <c r="C176" s="49"/>
      <c r="D176" s="38"/>
      <c r="E176" s="50"/>
      <c r="F176" s="51"/>
      <c r="G176" s="52"/>
    </row>
    <row r="177" spans="2:7" ht="12.75">
      <c r="B177" s="48"/>
      <c r="C177" s="49"/>
      <c r="D177" s="38"/>
      <c r="E177" s="50"/>
      <c r="F177" s="51"/>
      <c r="G177" s="52"/>
    </row>
    <row r="178" spans="2:7" ht="12.75">
      <c r="B178" s="48"/>
      <c r="C178" s="49"/>
      <c r="D178" s="38"/>
      <c r="E178" s="50"/>
      <c r="F178" s="51"/>
      <c r="G178" s="52"/>
    </row>
    <row r="179" spans="2:7" ht="12.75">
      <c r="B179" s="48"/>
      <c r="C179" s="49"/>
      <c r="D179" s="38"/>
      <c r="E179" s="50"/>
      <c r="F179" s="51"/>
      <c r="G179" s="52"/>
    </row>
    <row r="180" spans="2:7" ht="12.75">
      <c r="B180" s="48"/>
      <c r="C180" s="49"/>
      <c r="D180" s="38"/>
      <c r="E180" s="50"/>
      <c r="F180" s="51"/>
      <c r="G180" s="52"/>
    </row>
    <row r="181" spans="2:7" ht="12.75">
      <c r="B181" s="48"/>
      <c r="C181" s="49"/>
      <c r="D181" s="38"/>
      <c r="E181" s="50"/>
      <c r="F181" s="51"/>
      <c r="G181" s="52"/>
    </row>
    <row r="182" spans="2:7" ht="12.75">
      <c r="B182" s="48"/>
      <c r="C182" s="49"/>
      <c r="D182" s="38"/>
      <c r="E182" s="50"/>
      <c r="F182" s="51"/>
      <c r="G182" s="52"/>
    </row>
    <row r="183" spans="2:7" ht="12.75">
      <c r="B183" s="48"/>
      <c r="C183" s="49"/>
      <c r="D183" s="38"/>
      <c r="E183" s="50"/>
      <c r="F183" s="51"/>
      <c r="G183" s="52"/>
    </row>
    <row r="184" spans="2:7" ht="12.75">
      <c r="B184" s="48"/>
      <c r="C184" s="49"/>
      <c r="D184" s="38"/>
      <c r="E184" s="50"/>
      <c r="F184" s="51"/>
      <c r="G184" s="52"/>
    </row>
    <row r="185" spans="2:7" ht="12.75">
      <c r="B185" s="48"/>
      <c r="C185" s="49"/>
      <c r="D185" s="38"/>
      <c r="E185" s="50"/>
      <c r="F185" s="51"/>
      <c r="G185" s="52"/>
    </row>
    <row r="186" spans="2:7" ht="12.75">
      <c r="B186" s="48"/>
      <c r="C186" s="49"/>
      <c r="D186" s="38"/>
      <c r="E186" s="50"/>
      <c r="F186" s="51"/>
      <c r="G186" s="52"/>
    </row>
    <row r="187" spans="2:7" ht="12.75">
      <c r="B187" s="48"/>
      <c r="C187" s="49"/>
      <c r="D187" s="38"/>
      <c r="E187" s="50"/>
      <c r="F187" s="51"/>
      <c r="G187" s="52"/>
    </row>
    <row r="188" spans="2:7" ht="12.75">
      <c r="B188" s="48"/>
      <c r="C188" s="49"/>
      <c r="D188" s="38"/>
      <c r="E188" s="50"/>
      <c r="F188" s="51"/>
      <c r="G188" s="52"/>
    </row>
    <row r="189" spans="2:7" ht="12.75">
      <c r="B189" s="48"/>
      <c r="C189" s="49"/>
      <c r="D189" s="38"/>
      <c r="E189" s="50"/>
      <c r="F189" s="51"/>
      <c r="G189" s="52"/>
    </row>
    <row r="190" spans="2:7" ht="12.75">
      <c r="B190" s="48"/>
      <c r="C190" s="49"/>
      <c r="D190" s="38"/>
      <c r="E190" s="50"/>
      <c r="F190" s="51"/>
      <c r="G190" s="52"/>
    </row>
    <row r="191" spans="2:7" ht="12.75">
      <c r="B191" s="48"/>
      <c r="C191" s="49"/>
      <c r="D191" s="38"/>
      <c r="E191" s="50"/>
      <c r="F191" s="51"/>
      <c r="G191" s="52"/>
    </row>
    <row r="192" spans="2:7" ht="12.75">
      <c r="B192" s="48"/>
      <c r="C192" s="49"/>
      <c r="D192" s="38"/>
      <c r="E192" s="50"/>
      <c r="F192" s="51"/>
      <c r="G192" s="52"/>
    </row>
    <row r="193" spans="2:7" ht="12.75">
      <c r="B193" s="48"/>
      <c r="C193" s="49"/>
      <c r="D193" s="38"/>
      <c r="E193" s="50"/>
      <c r="F193" s="51"/>
      <c r="G193" s="52"/>
    </row>
    <row r="194" spans="2:7" ht="12.75">
      <c r="B194" s="48"/>
      <c r="C194" s="49"/>
      <c r="D194" s="38"/>
      <c r="E194" s="50"/>
      <c r="F194" s="51"/>
      <c r="G194" s="52"/>
    </row>
    <row r="195" spans="2:7" ht="12.75">
      <c r="B195" s="48"/>
      <c r="C195" s="49"/>
      <c r="D195" s="38"/>
      <c r="E195" s="50"/>
      <c r="F195" s="51"/>
      <c r="G195" s="52"/>
    </row>
  </sheetData>
  <sheetProtection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5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2" max="2" width="17.7109375" style="0" customWidth="1"/>
    <col min="3" max="3" width="10.28125" style="0" customWidth="1"/>
    <col min="8" max="8" width="8.8515625" style="0" bestFit="1" customWidth="1"/>
    <col min="10" max="10" width="11.140625" style="0" bestFit="1" customWidth="1"/>
    <col min="11" max="11" width="14.140625" style="0" bestFit="1" customWidth="1"/>
    <col min="15" max="15" width="10.8515625" style="0" customWidth="1"/>
    <col min="17" max="17" width="11.7109375" style="0" bestFit="1" customWidth="1"/>
    <col min="18" max="18" width="9.574218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3.5" thickBot="1"/>
    <row r="9" spans="2:18" ht="13.5" thickBot="1">
      <c r="B9" s="100" t="s">
        <v>36</v>
      </c>
      <c r="C9" s="101"/>
      <c r="F9" s="11"/>
      <c r="G9" s="12" t="s">
        <v>21</v>
      </c>
      <c r="H9" s="31" t="s">
        <v>22</v>
      </c>
      <c r="I9" s="12" t="s">
        <v>23</v>
      </c>
      <c r="J9" s="31" t="s">
        <v>24</v>
      </c>
      <c r="K9" s="12" t="s">
        <v>25</v>
      </c>
      <c r="L9" s="31" t="s">
        <v>26</v>
      </c>
      <c r="M9" s="12" t="s">
        <v>28</v>
      </c>
      <c r="N9" s="31" t="s">
        <v>27</v>
      </c>
      <c r="O9" s="12" t="s">
        <v>30</v>
      </c>
      <c r="P9" s="31" t="s">
        <v>31</v>
      </c>
      <c r="Q9" s="12" t="s">
        <v>32</v>
      </c>
      <c r="R9" s="16" t="s">
        <v>33</v>
      </c>
    </row>
    <row r="10" spans="2:20" ht="12.75">
      <c r="B10" s="3" t="s">
        <v>13</v>
      </c>
      <c r="C10" s="76">
        <v>0.03483</v>
      </c>
      <c r="F10" s="32">
        <v>0</v>
      </c>
      <c r="G10" s="66">
        <v>1</v>
      </c>
      <c r="H10" s="60"/>
      <c r="I10" s="66"/>
      <c r="J10" s="59"/>
      <c r="K10" s="68"/>
      <c r="L10" s="9"/>
      <c r="M10" s="70"/>
      <c r="N10" s="9"/>
      <c r="O10" s="70"/>
      <c r="P10" s="61">
        <f>MAX(0,C28)</f>
        <v>0</v>
      </c>
      <c r="Q10" s="68">
        <v>1</v>
      </c>
      <c r="R10" s="56"/>
      <c r="T10" s="61"/>
    </row>
    <row r="11" spans="2:20" ht="12.75">
      <c r="B11" s="4" t="s">
        <v>29</v>
      </c>
      <c r="C11" s="72" t="s">
        <v>47</v>
      </c>
      <c r="F11" s="32">
        <v>0.05</v>
      </c>
      <c r="G11" s="66">
        <f aca="true" t="shared" si="0" ref="G11:G30">G10*EXP(-(F11-F10)*IRate1)</f>
        <v>0.9985011244377109</v>
      </c>
      <c r="H11" s="60">
        <f>-(LN(G11)-LN(G10))/(F11-F10)</f>
        <v>0.029999999999999777</v>
      </c>
      <c r="I11" s="66">
        <f aca="true" t="shared" si="1" ref="I11:I42">IF(ABS(MOD(F11,PayFrac))&lt;0.000001,SwapRate*PayFrac,0)</f>
        <v>0</v>
      </c>
      <c r="J11" s="59">
        <f aca="true" t="shared" si="2" ref="J11:J42">IF(ABS(MOD(F11,RecFrac))&lt;0.000001,H11*RecFrac,0)</f>
        <v>0</v>
      </c>
      <c r="K11" s="68">
        <f>SwapRate*SUMPRODUCT(G12:$G$112,J12:$J$112)/SUMPRODUCT(G12:$G$112,I12:$I$112)</f>
        <v>0.034822311226557004</v>
      </c>
      <c r="L11" s="59">
        <f aca="true" t="shared" si="3" ref="L11:L42">(LN(K11/SwapRate)+0.5*SwapRateVol^2*F11)/(SwapRateVol*SQRT(F11))</f>
        <v>0.024001491577037324</v>
      </c>
      <c r="M11" s="66">
        <f aca="true" t="shared" si="4" ref="M11:M42">L11-SwapRateVol*SQRT(F11)</f>
        <v>-0.031900207860457414</v>
      </c>
      <c r="N11" s="59">
        <f>SUM(G12:$G$112)/G11*0.05</f>
        <v>4.562836338984318</v>
      </c>
      <c r="O11" s="68">
        <f aca="true" t="shared" si="5" ref="O11:O42">IF(PayRec="PAY",K11*NORMSDIST(L11)-SwapRate*NORMSDIST(M11),SwapRate*NORMSDIST(-M11)-K11*NORMSDIST(-L11))</f>
        <v>0.0007727378512646862</v>
      </c>
      <c r="P11" s="61">
        <f>O11*N11</f>
        <v>0.003525876348259169</v>
      </c>
      <c r="Q11" s="68">
        <f aca="true" t="shared" si="6" ref="Q11:Q42">EXP(-F11*CDSPrem/10000/(1-Recovery))</f>
        <v>0.99584200184511</v>
      </c>
      <c r="R11" s="56">
        <f>Q10-Q11</f>
        <v>0.004157998154890041</v>
      </c>
      <c r="T11" s="61"/>
    </row>
    <row r="12" spans="2:20" ht="12.75">
      <c r="B12" s="4" t="s">
        <v>48</v>
      </c>
      <c r="C12" s="72" t="s">
        <v>46</v>
      </c>
      <c r="D12" s="75">
        <f>IF(PayFreq="A",1,IF(PayFreq="S",1/2,IF(PayFreq="Q",1/4,"ERROR")))</f>
        <v>0.5</v>
      </c>
      <c r="F12" s="32">
        <v>0.1</v>
      </c>
      <c r="G12" s="66">
        <f t="shared" si="0"/>
        <v>0.997004495503373</v>
      </c>
      <c r="H12" s="60">
        <f>-(LN(G12)-LN(G11))/(F12-F11)</f>
        <v>0.029999999999999725</v>
      </c>
      <c r="I12" s="66">
        <f t="shared" si="1"/>
        <v>0</v>
      </c>
      <c r="J12" s="59">
        <f t="shared" si="2"/>
        <v>0</v>
      </c>
      <c r="K12" s="68">
        <f>SwapRate*SUMPRODUCT(G13:$G$112,J13:$J$112)/SUMPRODUCT(G13:$G$112,I13:$I$112)</f>
        <v>0.034822311226557004</v>
      </c>
      <c r="L12" s="59">
        <f t="shared" si="3"/>
        <v>0.03673585282876726</v>
      </c>
      <c r="M12" s="66">
        <f t="shared" si="4"/>
        <v>-0.04232108867544222</v>
      </c>
      <c r="N12" s="59">
        <f>SUM(G13:$G$112)/G12*0.05</f>
        <v>4.519685729251234</v>
      </c>
      <c r="O12" s="68">
        <f t="shared" si="5"/>
        <v>0.0010942614945939344</v>
      </c>
      <c r="P12" s="61">
        <f aca="true" t="shared" si="7" ref="P12:P75">O12*N12</f>
        <v>0.004945718061185331</v>
      </c>
      <c r="Q12" s="68">
        <f t="shared" si="6"/>
        <v>0.991701292638876</v>
      </c>
      <c r="R12" s="56">
        <f>Q11-Q12</f>
        <v>0.0041407092062339945</v>
      </c>
      <c r="T12" s="61"/>
    </row>
    <row r="13" spans="2:20" ht="13.5" thickBot="1">
      <c r="B13" s="5" t="s">
        <v>49</v>
      </c>
      <c r="C13" s="73" t="s">
        <v>46</v>
      </c>
      <c r="D13" s="75">
        <f>IF(RecFreq="A",1,IF(RecFreq="S",1/2,IF(RecFreq="Q",1/4,"ERROR")))</f>
        <v>0.5</v>
      </c>
      <c r="F13" s="32">
        <v>0.15</v>
      </c>
      <c r="G13" s="66">
        <f t="shared" si="0"/>
        <v>0.9955101098295706</v>
      </c>
      <c r="H13" s="60">
        <f>-(LN(G13)-LN(G12))/(F13-F12)</f>
        <v>0.03000000000000082</v>
      </c>
      <c r="I13" s="66">
        <f t="shared" si="1"/>
        <v>0</v>
      </c>
      <c r="J13" s="59">
        <f t="shared" si="2"/>
        <v>0</v>
      </c>
      <c r="K13" s="68">
        <f>SwapRate*SUMPRODUCT(G14:$G$112,J14:$J$112)/SUMPRODUCT(G14:$G$112,I14:$I$112)</f>
        <v>0.034822311226557004</v>
      </c>
      <c r="L13" s="59">
        <f t="shared" si="3"/>
        <v>0.04613212884135017</v>
      </c>
      <c r="M13" s="66">
        <f t="shared" si="4"/>
        <v>-0.050692454813835254</v>
      </c>
      <c r="N13" s="59">
        <f>SUM(G14:$G$112)/G13*0.05</f>
        <v>4.476470345034833</v>
      </c>
      <c r="O13" s="68">
        <f t="shared" si="5"/>
        <v>0.0013408783516848204</v>
      </c>
      <c r="P13" s="61">
        <f t="shared" si="7"/>
        <v>0.006002402177616286</v>
      </c>
      <c r="Q13" s="68">
        <f t="shared" si="6"/>
        <v>0.9875778004938814</v>
      </c>
      <c r="R13" s="56">
        <f aca="true" t="shared" si="8" ref="R13:R76">Q12-Q13</f>
        <v>0.004123492144994523</v>
      </c>
      <c r="T13" s="61"/>
    </row>
    <row r="14" spans="6:20" ht="13.5" thickBot="1">
      <c r="F14" s="32">
        <v>0.2</v>
      </c>
      <c r="G14" s="66">
        <f t="shared" si="0"/>
        <v>0.9940179640539353</v>
      </c>
      <c r="H14" s="60">
        <f>-(LN(G14)-LN(G13))/(F14-F13)</f>
        <v>0.029999999999999426</v>
      </c>
      <c r="I14" s="66">
        <f t="shared" si="1"/>
        <v>0</v>
      </c>
      <c r="J14" s="59">
        <f t="shared" si="2"/>
        <v>0</v>
      </c>
      <c r="K14" s="68">
        <f>SwapRate*SUMPRODUCT(G15:$G$112,J15:$J$112)/SUMPRODUCT(G15:$G$112,I15:$I$112)</f>
        <v>0.034822311226557004</v>
      </c>
      <c r="L14" s="59">
        <f t="shared" si="3"/>
        <v>0.05392702036663972</v>
      </c>
      <c r="M14" s="66">
        <f t="shared" si="4"/>
        <v>-0.057876378508349764</v>
      </c>
      <c r="N14" s="59">
        <f>SUM(G15:$G$112)/G14*0.05</f>
        <v>4.433190089100482</v>
      </c>
      <c r="O14" s="68">
        <f t="shared" si="5"/>
        <v>0.001548704579895411</v>
      </c>
      <c r="P14" s="61">
        <f t="shared" si="7"/>
        <v>0.006865701794536862</v>
      </c>
      <c r="Q14" s="68">
        <f t="shared" si="6"/>
        <v>0.9834714538216175</v>
      </c>
      <c r="R14" s="56">
        <f t="shared" si="8"/>
        <v>0.00410634667226395</v>
      </c>
      <c r="T14" s="61"/>
    </row>
    <row r="15" spans="2:20" ht="13.5" thickBot="1">
      <c r="B15" s="100" t="s">
        <v>15</v>
      </c>
      <c r="C15" s="101"/>
      <c r="E15" s="55"/>
      <c r="F15" s="32">
        <v>0.25</v>
      </c>
      <c r="G15" s="66">
        <f t="shared" si="0"/>
        <v>0.9925280548191384</v>
      </c>
      <c r="H15" s="60">
        <f aca="true" t="shared" si="9" ref="H15:H78">-(LN(G15)-LN(G14))/(F15-F14)</f>
        <v>0.03000000000000052</v>
      </c>
      <c r="I15" s="66">
        <f t="shared" si="1"/>
        <v>0</v>
      </c>
      <c r="J15" s="59">
        <f t="shared" si="2"/>
        <v>0</v>
      </c>
      <c r="K15" s="68">
        <f>SwapRate*SUMPRODUCT(G16:$G$112,J16:$J$112)/SUMPRODUCT(G16:$G$112,I16:$I$112)</f>
        <v>0.034822311226557004</v>
      </c>
      <c r="L15" s="59">
        <f t="shared" si="3"/>
        <v>0.060733793345528815</v>
      </c>
      <c r="M15" s="66">
        <f t="shared" si="4"/>
        <v>-0.06426620665447119</v>
      </c>
      <c r="N15" s="59">
        <f>SUM(G16:$G$112)/G15*0.05</f>
        <v>4.389844864067588</v>
      </c>
      <c r="O15" s="68">
        <f t="shared" si="5"/>
        <v>0.0017317315550684532</v>
      </c>
      <c r="P15" s="61">
        <f t="shared" si="7"/>
        <v>0.007602032872961027</v>
      </c>
      <c r="Q15" s="68">
        <f t="shared" si="6"/>
        <v>0.9793821813312401</v>
      </c>
      <c r="R15" s="56">
        <f t="shared" si="8"/>
        <v>0.0040892724903773825</v>
      </c>
      <c r="T15" s="61"/>
    </row>
    <row r="16" spans="2:20" ht="12.75">
      <c r="B16" s="4" t="s">
        <v>16</v>
      </c>
      <c r="C16" s="77">
        <v>0.03</v>
      </c>
      <c r="F16" s="32">
        <v>0.3</v>
      </c>
      <c r="G16" s="66">
        <f t="shared" si="0"/>
        <v>0.9910403787728836</v>
      </c>
      <c r="H16" s="60">
        <f t="shared" si="9"/>
        <v>0.03000000000000007</v>
      </c>
      <c r="I16" s="66">
        <f t="shared" si="1"/>
        <v>0</v>
      </c>
      <c r="J16" s="59">
        <f t="shared" si="2"/>
        <v>0</v>
      </c>
      <c r="K16" s="68">
        <f>SwapRate*SUMPRODUCT(G17:$G$112,J17:$J$112)/SUMPRODUCT(G17:$G$112,I17:$I$112)</f>
        <v>0.034822311226557004</v>
      </c>
      <c r="L16" s="59">
        <f t="shared" si="3"/>
        <v>0.06685300097836311</v>
      </c>
      <c r="M16" s="66">
        <f t="shared" si="4"/>
        <v>-0.07007763839792841</v>
      </c>
      <c r="N16" s="59">
        <f>SUM(G17:$G$112)/G16*0.05</f>
        <v>4.346434572409375</v>
      </c>
      <c r="O16" s="68">
        <f t="shared" si="5"/>
        <v>0.0018971359084135227</v>
      </c>
      <c r="P16" s="61">
        <f t="shared" si="7"/>
        <v>0.0082457771008878</v>
      </c>
      <c r="Q16" s="68">
        <f t="shared" si="6"/>
        <v>0.9753099120283326</v>
      </c>
      <c r="R16" s="56">
        <f t="shared" si="8"/>
        <v>0.004072269302907494</v>
      </c>
      <c r="T16" s="61"/>
    </row>
    <row r="17" spans="2:20" ht="12.75">
      <c r="B17" s="4" t="s">
        <v>17</v>
      </c>
      <c r="C17" s="78">
        <v>0.0325</v>
      </c>
      <c r="F17" s="32">
        <v>0.35</v>
      </c>
      <c r="G17" s="66">
        <f t="shared" si="0"/>
        <v>0.9895549325678992</v>
      </c>
      <c r="H17" s="60">
        <f t="shared" si="9"/>
        <v>0.03000000000000083</v>
      </c>
      <c r="I17" s="66">
        <f t="shared" si="1"/>
        <v>0</v>
      </c>
      <c r="J17" s="59">
        <f t="shared" si="2"/>
        <v>0</v>
      </c>
      <c r="K17" s="68">
        <f>SwapRate*SUMPRODUCT(G18:$G$112,J18:$J$112)/SUMPRODUCT(G18:$G$112,I18:$I$112)</f>
        <v>0.034822311226557004</v>
      </c>
      <c r="L17" s="59">
        <f t="shared" si="3"/>
        <v>0.07245828021998907</v>
      </c>
      <c r="M17" s="66">
        <f t="shared" si="4"/>
        <v>-0.07544371435750133</v>
      </c>
      <c r="N17" s="59">
        <f>SUM(G18:$G$112)/G17*0.05</f>
        <v>4.30295911645267</v>
      </c>
      <c r="O17" s="68">
        <f t="shared" si="5"/>
        <v>0.002049181468774239</v>
      </c>
      <c r="P17" s="61">
        <f t="shared" si="7"/>
        <v>0.008817544082327983</v>
      </c>
      <c r="Q17" s="68">
        <f t="shared" si="6"/>
        <v>0.9712545752136729</v>
      </c>
      <c r="R17" s="56">
        <f t="shared" si="8"/>
        <v>0.004055336814659749</v>
      </c>
      <c r="T17" s="61"/>
    </row>
    <row r="18" spans="2:20" ht="12.75">
      <c r="B18" s="4" t="s">
        <v>18</v>
      </c>
      <c r="C18" s="78">
        <v>0.035</v>
      </c>
      <c r="F18" s="32">
        <v>0.4</v>
      </c>
      <c r="G18" s="66">
        <f t="shared" si="0"/>
        <v>0.9880717128619305</v>
      </c>
      <c r="H18" s="60">
        <f t="shared" si="9"/>
        <v>0.02999999999999927</v>
      </c>
      <c r="I18" s="66">
        <f t="shared" si="1"/>
        <v>0</v>
      </c>
      <c r="J18" s="59">
        <f t="shared" si="2"/>
        <v>0</v>
      </c>
      <c r="K18" s="68">
        <f>SwapRate*SUMPRODUCT(G19:$G$112,J19:$J$112)/SUMPRODUCT(G19:$G$112,I19:$I$112)</f>
        <v>0.034822311226557004</v>
      </c>
      <c r="L18" s="59">
        <f t="shared" si="3"/>
        <v>0.07766063254254076</v>
      </c>
      <c r="M18" s="66">
        <f t="shared" si="4"/>
        <v>-0.08045325046587821</v>
      </c>
      <c r="N18" s="59">
        <f>SUM(G19:$G$112)/G18*0.05</f>
        <v>4.259418398377678</v>
      </c>
      <c r="O18" s="68">
        <f t="shared" si="5"/>
        <v>0.002190646730468343</v>
      </c>
      <c r="P18" s="61">
        <f t="shared" si="7"/>
        <v>0.009330880988102766</v>
      </c>
      <c r="Q18" s="68">
        <f t="shared" si="6"/>
        <v>0.9672161004820059</v>
      </c>
      <c r="R18" s="56">
        <f t="shared" si="8"/>
        <v>0.004038474731666963</v>
      </c>
      <c r="T18" s="61"/>
    </row>
    <row r="19" spans="2:20" ht="12.75">
      <c r="B19" s="4" t="s">
        <v>19</v>
      </c>
      <c r="C19" s="78">
        <v>0.0375</v>
      </c>
      <c r="F19" s="32">
        <v>0.45</v>
      </c>
      <c r="G19" s="66">
        <f t="shared" si="0"/>
        <v>0.9865907163177327</v>
      </c>
      <c r="H19" s="60">
        <f t="shared" si="9"/>
        <v>0.0299999999999992</v>
      </c>
      <c r="I19" s="66">
        <f t="shared" si="1"/>
        <v>0</v>
      </c>
      <c r="J19" s="59">
        <f t="shared" si="2"/>
        <v>0</v>
      </c>
      <c r="K19" s="68">
        <f>SwapRate*SUMPRODUCT(G20:$G$112,J20:$J$112)/SUMPRODUCT(G20:$G$112,I20:$I$112)</f>
        <v>0.034822311226557004</v>
      </c>
      <c r="L19" s="59">
        <f t="shared" si="3"/>
        <v>0.08253609644233877</v>
      </c>
      <c r="M19" s="66">
        <f t="shared" si="4"/>
        <v>-0.08516900187014546</v>
      </c>
      <c r="N19" s="59">
        <f>SUM(G20:$G$112)/G19*0.05</f>
        <v>4.215812320217764</v>
      </c>
      <c r="O19" s="68">
        <f t="shared" si="5"/>
        <v>0.0023234619003504597</v>
      </c>
      <c r="P19" s="61">
        <f t="shared" si="7"/>
        <v>0.009795279305054047</v>
      </c>
      <c r="Q19" s="68">
        <f t="shared" si="6"/>
        <v>0.9631944177208218</v>
      </c>
      <c r="R19" s="56">
        <f t="shared" si="8"/>
        <v>0.004021682761184087</v>
      </c>
      <c r="T19" s="61"/>
    </row>
    <row r="20" spans="2:20" ht="13.5" thickBot="1">
      <c r="B20" s="5" t="s">
        <v>20</v>
      </c>
      <c r="C20" s="79">
        <v>0.04</v>
      </c>
      <c r="F20" s="32">
        <v>0.5</v>
      </c>
      <c r="G20" s="66">
        <f t="shared" si="0"/>
        <v>0.9851119396030626</v>
      </c>
      <c r="H20" s="60">
        <f t="shared" si="9"/>
        <v>0.030000000000000658</v>
      </c>
      <c r="I20" s="66">
        <f t="shared" si="1"/>
        <v>0.017415</v>
      </c>
      <c r="J20" s="59">
        <f t="shared" si="2"/>
        <v>0.015000000000000329</v>
      </c>
      <c r="K20" s="68">
        <f>SwapRate*SUMPRODUCT(G21:$G$112,J21:$J$112)/SUMPRODUCT(G21:$G$112,I21:$I$112)</f>
        <v>0.03540485920280343</v>
      </c>
      <c r="L20" s="59">
        <f t="shared" si="3"/>
        <v>0.1809910062182338</v>
      </c>
      <c r="M20" s="66">
        <f t="shared" si="4"/>
        <v>0.004214310921596909</v>
      </c>
      <c r="N20" s="59">
        <f>SUM(G21:$G$112)/G20*0.05</f>
        <v>4.172140783859236</v>
      </c>
      <c r="O20" s="68">
        <f t="shared" si="5"/>
        <v>0.0027713891570330385</v>
      </c>
      <c r="P20" s="61">
        <f t="shared" si="7"/>
        <v>0.011562625730002808</v>
      </c>
      <c r="Q20" s="68">
        <f t="shared" si="6"/>
        <v>0.9591894571091382</v>
      </c>
      <c r="R20" s="56">
        <f t="shared" si="8"/>
        <v>0.00400496061168365</v>
      </c>
      <c r="T20" s="61"/>
    </row>
    <row r="21" spans="6:20" ht="13.5" thickBot="1">
      <c r="F21" s="32">
        <v>0.55</v>
      </c>
      <c r="G21" s="66">
        <f t="shared" si="0"/>
        <v>0.9836353793906724</v>
      </c>
      <c r="H21" s="60">
        <f t="shared" si="9"/>
        <v>0.03000000000000031</v>
      </c>
      <c r="I21" s="66">
        <f t="shared" si="1"/>
        <v>0</v>
      </c>
      <c r="J21" s="59">
        <f t="shared" si="2"/>
        <v>0</v>
      </c>
      <c r="K21" s="68">
        <f>SwapRate*SUMPRODUCT(G22:$G$112,J22:$J$112)/SUMPRODUCT(G22:$G$112,I22:$I$112)</f>
        <v>0.03540485920280343</v>
      </c>
      <c r="L21" s="59">
        <f t="shared" si="3"/>
        <v>0.18099565169979281</v>
      </c>
      <c r="M21" s="66">
        <f t="shared" si="4"/>
        <v>-0.004409310477598766</v>
      </c>
      <c r="N21" s="59">
        <f>SUM(G22:$G$112)/G21*0.05</f>
        <v>4.1284036910411155</v>
      </c>
      <c r="O21" s="68">
        <f t="shared" si="5"/>
        <v>0.002891279930174375</v>
      </c>
      <c r="P21" s="61">
        <f t="shared" si="7"/>
        <v>0.011936370735564989</v>
      </c>
      <c r="Q21" s="68">
        <f t="shared" si="6"/>
        <v>0.9552011491162884</v>
      </c>
      <c r="R21" s="56">
        <f t="shared" si="8"/>
        <v>0.003988307992849771</v>
      </c>
      <c r="T21" s="61"/>
    </row>
    <row r="22" spans="2:20" ht="13.5" thickBot="1">
      <c r="B22" s="100" t="s">
        <v>39</v>
      </c>
      <c r="C22" s="101"/>
      <c r="F22" s="32">
        <v>0.6</v>
      </c>
      <c r="G22" s="66">
        <f t="shared" si="0"/>
        <v>0.9821610323583007</v>
      </c>
      <c r="H22" s="60">
        <f t="shared" si="9"/>
        <v>0.030000000000000623</v>
      </c>
      <c r="I22" s="66">
        <f t="shared" si="1"/>
        <v>0</v>
      </c>
      <c r="J22" s="59">
        <f t="shared" si="2"/>
        <v>0</v>
      </c>
      <c r="K22" s="68">
        <f>SwapRate*SUMPRODUCT(G23:$G$112,J23:$J$112)/SUMPRODUCT(G23:$G$112,I23:$I$112)</f>
        <v>0.03540485920280343</v>
      </c>
      <c r="L22" s="59">
        <f t="shared" si="3"/>
        <v>0.181358858628005</v>
      </c>
      <c r="M22" s="66">
        <f t="shared" si="4"/>
        <v>-0.012290308682365858</v>
      </c>
      <c r="N22" s="59">
        <f>SUM(G23:$G$112)/G22*0.05</f>
        <v>4.0846009433549275</v>
      </c>
      <c r="O22" s="68">
        <f t="shared" si="5"/>
        <v>0.003005830160735228</v>
      </c>
      <c r="P22" s="61">
        <f t="shared" si="7"/>
        <v>0.012277616710103807</v>
      </c>
      <c r="Q22" s="68">
        <f t="shared" si="6"/>
        <v>0.951229424500714</v>
      </c>
      <c r="R22" s="56">
        <f t="shared" si="8"/>
        <v>0.003971724615574379</v>
      </c>
      <c r="T22" s="61"/>
    </row>
    <row r="23" spans="2:20" ht="12.75">
      <c r="B23" s="3" t="s">
        <v>14</v>
      </c>
      <c r="C23" s="13">
        <v>0.25</v>
      </c>
      <c r="F23" s="32">
        <v>0.65</v>
      </c>
      <c r="G23" s="66">
        <f t="shared" si="0"/>
        <v>0.9806888951886662</v>
      </c>
      <c r="H23" s="60">
        <f t="shared" si="9"/>
        <v>0.02999999999999882</v>
      </c>
      <c r="I23" s="66">
        <f t="shared" si="1"/>
        <v>0</v>
      </c>
      <c r="J23" s="59">
        <f t="shared" si="2"/>
        <v>0</v>
      </c>
      <c r="K23" s="68">
        <f>SwapRate*SUMPRODUCT(G24:$G$112,J24:$J$112)/SUMPRODUCT(G24:$G$112,I24:$I$112)</f>
        <v>0.03540485920280343</v>
      </c>
      <c r="L23" s="59">
        <f t="shared" si="3"/>
        <v>0.18199612616162691</v>
      </c>
      <c r="M23" s="66">
        <f t="shared" si="4"/>
        <v>-0.01956031754583684</v>
      </c>
      <c r="N23" s="59">
        <f>SUM(G24:$G$112)/G23*0.05</f>
        <v>4.0407324422444715</v>
      </c>
      <c r="O23" s="68">
        <f t="shared" si="5"/>
        <v>0.0031156888160629274</v>
      </c>
      <c r="P23" s="61">
        <f t="shared" si="7"/>
        <v>0.012589664879003738</v>
      </c>
      <c r="Q23" s="68">
        <f t="shared" si="6"/>
        <v>0.9472742143087629</v>
      </c>
      <c r="R23" s="56">
        <f t="shared" si="8"/>
        <v>0.0039552101919511085</v>
      </c>
      <c r="T23" s="61"/>
    </row>
    <row r="24" spans="2:20" ht="12.75">
      <c r="B24" s="4" t="s">
        <v>34</v>
      </c>
      <c r="C24" s="74">
        <v>500</v>
      </c>
      <c r="F24" s="32">
        <v>0.7</v>
      </c>
      <c r="G24" s="66">
        <f t="shared" si="0"/>
        <v>0.9792189645694596</v>
      </c>
      <c r="H24" s="60">
        <f t="shared" si="9"/>
        <v>0.030000000000000554</v>
      </c>
      <c r="I24" s="66">
        <f t="shared" si="1"/>
        <v>0</v>
      </c>
      <c r="J24" s="59">
        <f t="shared" si="2"/>
        <v>0</v>
      </c>
      <c r="K24" s="68">
        <f>SwapRate*SUMPRODUCT(G25:$G$112,J25:$J$112)/SUMPRODUCT(G25:$G$112,I25:$I$112)</f>
        <v>0.03540485920280343</v>
      </c>
      <c r="L24" s="59">
        <f t="shared" si="3"/>
        <v>0.18284603420629553</v>
      </c>
      <c r="M24" s="66">
        <f t="shared" si="4"/>
        <v>-0.026318972427223364</v>
      </c>
      <c r="N24" s="59">
        <f>SUM(G25:$G$112)/G24*0.05</f>
        <v>3.9967980890056</v>
      </c>
      <c r="O24" s="68">
        <f t="shared" si="5"/>
        <v>0.003221382953858546</v>
      </c>
      <c r="P24" s="61">
        <f t="shared" si="7"/>
        <v>0.012875217233937052</v>
      </c>
      <c r="Q24" s="68">
        <f t="shared" si="6"/>
        <v>0.9433354498734922</v>
      </c>
      <c r="R24" s="56">
        <f t="shared" si="8"/>
        <v>0.003938764435270747</v>
      </c>
      <c r="T24" s="61"/>
    </row>
    <row r="25" spans="2:20" ht="13.5" thickBot="1">
      <c r="B25" s="5" t="s">
        <v>35</v>
      </c>
      <c r="C25" s="14">
        <v>0.4</v>
      </c>
      <c r="F25" s="32">
        <v>0.75</v>
      </c>
      <c r="G25" s="66">
        <f t="shared" si="0"/>
        <v>0.9777512371933363</v>
      </c>
      <c r="H25" s="60">
        <f t="shared" si="9"/>
        <v>0.02999999999999986</v>
      </c>
      <c r="I25" s="66">
        <f t="shared" si="1"/>
        <v>0</v>
      </c>
      <c r="J25" s="59">
        <f t="shared" si="2"/>
        <v>0</v>
      </c>
      <c r="K25" s="68">
        <f>SwapRate*SUMPRODUCT(G26:$G$112,J26:$J$112)/SUMPRODUCT(G26:$G$112,I26:$I$112)</f>
        <v>0.03540485920280343</v>
      </c>
      <c r="L25" s="59">
        <f t="shared" si="3"/>
        <v>0.18386292958020833</v>
      </c>
      <c r="M25" s="66">
        <f t="shared" si="4"/>
        <v>-0.032643421365901315</v>
      </c>
      <c r="N25" s="59">
        <f>SUM(G26:$G$112)/G25*0.05</f>
        <v>3.9527977847860023</v>
      </c>
      <c r="O25" s="68">
        <f t="shared" si="5"/>
        <v>0.0033233475687706425</v>
      </c>
      <c r="P25" s="61">
        <f t="shared" si="7"/>
        <v>0.013136520907910542</v>
      </c>
      <c r="Q25" s="68">
        <f t="shared" si="6"/>
        <v>0.9394130628134758</v>
      </c>
      <c r="R25" s="56">
        <f t="shared" si="8"/>
        <v>0.003922387060016352</v>
      </c>
      <c r="T25" s="61"/>
    </row>
    <row r="26" spans="6:20" ht="13.5" thickBot="1">
      <c r="F26" s="32">
        <v>0.8</v>
      </c>
      <c r="G26" s="66">
        <f t="shared" si="0"/>
        <v>0.9762857097579093</v>
      </c>
      <c r="H26" s="60">
        <f t="shared" si="9"/>
        <v>0.02999999999999993</v>
      </c>
      <c r="I26" s="66">
        <f t="shared" si="1"/>
        <v>0</v>
      </c>
      <c r="J26" s="59">
        <f t="shared" si="2"/>
        <v>0</v>
      </c>
      <c r="K26" s="68">
        <f>SwapRate*SUMPRODUCT(G27:$G$112,J27:$J$112)/SUMPRODUCT(G27:$G$112,I27:$I$112)</f>
        <v>0.03540485920280343</v>
      </c>
      <c r="L26" s="59">
        <f t="shared" si="3"/>
        <v>0.18501222849195031</v>
      </c>
      <c r="M26" s="66">
        <f t="shared" si="4"/>
        <v>-0.03859456925802865</v>
      </c>
      <c r="N26" s="59">
        <f>SUM(G27:$G$112)/G26*0.05</f>
        <v>3.908731430584971</v>
      </c>
      <c r="O26" s="68">
        <f t="shared" si="5"/>
        <v>0.003421946652943021</v>
      </c>
      <c r="P26" s="61">
        <f t="shared" si="7"/>
        <v>0.013375470436143429</v>
      </c>
      <c r="Q26" s="68">
        <f t="shared" si="6"/>
        <v>0.9355069850316178</v>
      </c>
      <c r="R26" s="56">
        <f t="shared" si="8"/>
        <v>0.0039060777818580306</v>
      </c>
      <c r="T26" s="61"/>
    </row>
    <row r="27" spans="2:20" ht="13.5" thickBot="1">
      <c r="B27" s="100" t="s">
        <v>40</v>
      </c>
      <c r="C27" s="101"/>
      <c r="F27" s="32">
        <v>0.85</v>
      </c>
      <c r="G27" s="66">
        <f t="shared" si="0"/>
        <v>0.9748223789657411</v>
      </c>
      <c r="H27" s="60">
        <f t="shared" si="9"/>
        <v>0.029999999999999652</v>
      </c>
      <c r="I27" s="66">
        <f t="shared" si="1"/>
        <v>0</v>
      </c>
      <c r="J27" s="59">
        <f t="shared" si="2"/>
        <v>0</v>
      </c>
      <c r="K27" s="68">
        <f>SwapRate*SUMPRODUCT(G28:$G$112,J28:$J$112)/SUMPRODUCT(G28:$G$112,I28:$I$112)</f>
        <v>0.03540485920280343</v>
      </c>
      <c r="L27" s="59">
        <f t="shared" si="3"/>
        <v>0.18626730271347308</v>
      </c>
      <c r="M27" s="66">
        <f t="shared" si="4"/>
        <v>-0.044221308718849106</v>
      </c>
      <c r="N27" s="59">
        <f>SUM(G28:$G$112)/G27*0.05</f>
        <v>3.864598927253194</v>
      </c>
      <c r="O27" s="68">
        <f t="shared" si="5"/>
        <v>0.003517488439002403</v>
      </c>
      <c r="P27" s="61">
        <f t="shared" si="7"/>
        <v>0.0135936820479942</v>
      </c>
      <c r="Q27" s="68">
        <f t="shared" si="6"/>
        <v>0.9316171487139695</v>
      </c>
      <c r="R27" s="56">
        <f t="shared" si="8"/>
        <v>0.0038898363176482764</v>
      </c>
      <c r="T27" s="61"/>
    </row>
    <row r="28" spans="2:20" ht="12.75">
      <c r="B28" s="3" t="s">
        <v>37</v>
      </c>
      <c r="C28" s="28">
        <f>(SUMPRODUCT(G11:G110,I11:I110)-SUMPRODUCT(G11:G110,J11:J110))*IF(PayRec="PAY",-1,1)</f>
        <v>-3.513705338195616E-05</v>
      </c>
      <c r="F28" s="32">
        <v>0.9</v>
      </c>
      <c r="G28" s="66">
        <f t="shared" si="0"/>
        <v>0.9733612415243368</v>
      </c>
      <c r="H28" s="60">
        <f t="shared" si="9"/>
        <v>0.03000000000000007</v>
      </c>
      <c r="I28" s="66">
        <f t="shared" si="1"/>
        <v>0</v>
      </c>
      <c r="J28" s="59">
        <f t="shared" si="2"/>
        <v>0</v>
      </c>
      <c r="K28" s="68">
        <f>SwapRate*SUMPRODUCT(G29:$G$112,J29:$J$112)/SUMPRODUCT(G29:$G$112,I29:$I$112)</f>
        <v>0.03540485920280343</v>
      </c>
      <c r="L28" s="59">
        <f t="shared" si="3"/>
        <v>0.18760735874282564</v>
      </c>
      <c r="M28" s="66">
        <f t="shared" si="4"/>
        <v>-0.049563465769802806</v>
      </c>
      <c r="N28" s="59">
        <f>SUM(G29:$G$112)/G28*0.05</f>
        <v>3.8204001754925203</v>
      </c>
      <c r="O28" s="68">
        <f t="shared" si="5"/>
        <v>0.0036102366768070333</v>
      </c>
      <c r="P28" s="61">
        <f t="shared" si="7"/>
        <v>0.013792548833643123</v>
      </c>
      <c r="Q28" s="68">
        <f t="shared" si="6"/>
        <v>0.9277434863285529</v>
      </c>
      <c r="R28" s="56">
        <f t="shared" si="8"/>
        <v>0.003873662385416643</v>
      </c>
      <c r="T28" s="61"/>
    </row>
    <row r="29" spans="2:20" ht="12.75">
      <c r="B29" s="4" t="s">
        <v>9</v>
      </c>
      <c r="C29" s="57">
        <f>SUMPRODUCT(G11:G109,P11:P109,R11:R109)*(1-Recovery)</f>
        <v>0.0024240541471368237</v>
      </c>
      <c r="F29" s="32">
        <v>0.95</v>
      </c>
      <c r="G29" s="66">
        <f t="shared" si="0"/>
        <v>0.9719022941461366</v>
      </c>
      <c r="H29" s="60">
        <f t="shared" si="9"/>
        <v>0.029999999999999027</v>
      </c>
      <c r="I29" s="66">
        <f t="shared" si="1"/>
        <v>0</v>
      </c>
      <c r="J29" s="59">
        <f t="shared" si="2"/>
        <v>0</v>
      </c>
      <c r="K29" s="68">
        <f>SwapRate*SUMPRODUCT(G30:$G$112,J30:$J$112)/SUMPRODUCT(G30:$G$112,I30:$I$112)</f>
        <v>0.03540485920280343</v>
      </c>
      <c r="L29" s="59">
        <f t="shared" si="3"/>
        <v>0.18901595879963198</v>
      </c>
      <c r="M29" s="66">
        <f t="shared" si="4"/>
        <v>-0.0546538998205921</v>
      </c>
      <c r="N29" s="59">
        <f>SUM(G30:$G$112)/G29*0.05</f>
        <v>3.7761350758557373</v>
      </c>
      <c r="O29" s="68">
        <f t="shared" si="5"/>
        <v>0.0037004191368477657</v>
      </c>
      <c r="P29" s="61">
        <f t="shared" si="7"/>
        <v>0.01397328249801866</v>
      </c>
      <c r="Q29" s="68">
        <f t="shared" si="6"/>
        <v>0.9238859306241874</v>
      </c>
      <c r="R29" s="56">
        <f t="shared" si="8"/>
        <v>0.003857555704365412</v>
      </c>
      <c r="T29" s="61"/>
    </row>
    <row r="30" spans="2:20" ht="13.5" thickBot="1">
      <c r="B30" s="5" t="s">
        <v>38</v>
      </c>
      <c r="C30" s="58">
        <f>C28-C29</f>
        <v>-0.00245919120051878</v>
      </c>
      <c r="F30" s="32">
        <v>1</v>
      </c>
      <c r="G30" s="66">
        <f t="shared" si="0"/>
        <v>0.9704455335485083</v>
      </c>
      <c r="H30" s="60">
        <f t="shared" si="9"/>
        <v>0.029999999999999027</v>
      </c>
      <c r="I30" s="66">
        <f t="shared" si="1"/>
        <v>0.017415</v>
      </c>
      <c r="J30" s="59">
        <f t="shared" si="2"/>
        <v>0.014999999999999514</v>
      </c>
      <c r="K30" s="68">
        <f>SwapRate*SUMPRODUCT(G31:$G$112,J31:$J$112)/SUMPRODUCT(G31:$G$112,I31:$I$112)</f>
        <v>0.036134942745517686</v>
      </c>
      <c r="L30" s="59">
        <f t="shared" si="3"/>
        <v>0.2721250235808798</v>
      </c>
      <c r="M30" s="66">
        <f t="shared" si="4"/>
        <v>0.02212502358087981</v>
      </c>
      <c r="N30" s="59">
        <f>SUM(G31:$G$112)/G30*0.05</f>
        <v>3.731803528746354</v>
      </c>
      <c r="O30" s="68">
        <f t="shared" si="5"/>
        <v>0.004220070574042181</v>
      </c>
      <c r="P30" s="61">
        <f t="shared" si="7"/>
        <v>0.015748474259769264</v>
      </c>
      <c r="Q30" s="68">
        <f t="shared" si="6"/>
        <v>0.9200444146293233</v>
      </c>
      <c r="R30" s="56">
        <f t="shared" si="8"/>
        <v>0.003841515994864153</v>
      </c>
      <c r="T30" s="61"/>
    </row>
    <row r="31" spans="6:20" ht="12.75">
      <c r="F31" s="32">
        <v>1.05</v>
      </c>
      <c r="G31" s="66">
        <f aca="true" t="shared" si="10" ref="G31:G50">G30*EXP(-(F31-F30)*IRate2)</f>
        <v>0.9688698401541095</v>
      </c>
      <c r="H31" s="60">
        <f t="shared" si="9"/>
        <v>0.0325</v>
      </c>
      <c r="I31" s="66">
        <f t="shared" si="1"/>
        <v>0</v>
      </c>
      <c r="J31" s="59">
        <f t="shared" si="2"/>
        <v>0</v>
      </c>
      <c r="K31" s="68">
        <f>SwapRate*SUMPRODUCT(G32:$G$112,J32:$J$112)/SUMPRODUCT(G32:$G$112,I32:$I$112)</f>
        <v>0.036134942745517686</v>
      </c>
      <c r="L31" s="59">
        <f t="shared" si="3"/>
        <v>0.27166620581963025</v>
      </c>
      <c r="M31" s="66">
        <f t="shared" si="4"/>
        <v>0.015492436670640264</v>
      </c>
      <c r="N31" s="59">
        <f>SUM(G32:$G$112)/G31*0.05</f>
        <v>3.6878726392973684</v>
      </c>
      <c r="O31" s="68">
        <f t="shared" si="5"/>
        <v>0.004305840775205152</v>
      </c>
      <c r="P31" s="61">
        <f t="shared" si="7"/>
        <v>0.01587939238405005</v>
      </c>
      <c r="Q31" s="68">
        <f t="shared" si="6"/>
        <v>0.9162188716508777</v>
      </c>
      <c r="R31" s="56">
        <f t="shared" si="8"/>
        <v>0.0038255429784456174</v>
      </c>
      <c r="T31" s="61"/>
    </row>
    <row r="32" spans="6:20" ht="12.75">
      <c r="F32" s="32">
        <v>1.1</v>
      </c>
      <c r="G32" s="66">
        <f t="shared" si="10"/>
        <v>0.9672967051821953</v>
      </c>
      <c r="H32" s="60">
        <f t="shared" si="9"/>
        <v>0.0325</v>
      </c>
      <c r="I32" s="66">
        <f t="shared" si="1"/>
        <v>0</v>
      </c>
      <c r="J32" s="59">
        <f t="shared" si="2"/>
        <v>0</v>
      </c>
      <c r="K32" s="68">
        <f>SwapRate*SUMPRODUCT(G33:$G$112,J33:$J$112)/SUMPRODUCT(G33:$G$112,I33:$I$112)</f>
        <v>0.036134942745517686</v>
      </c>
      <c r="L32" s="59">
        <f t="shared" si="3"/>
        <v>0.2713793119475134</v>
      </c>
      <c r="M32" s="66">
        <f t="shared" si="4"/>
        <v>0.009177099904975505</v>
      </c>
      <c r="N32" s="59">
        <f>SUM(G33:$G$112)/G32*0.05</f>
        <v>3.643870304119096</v>
      </c>
      <c r="O32" s="68">
        <f t="shared" si="5"/>
        <v>0.004389600453435654</v>
      </c>
      <c r="P32" s="61">
        <f t="shared" si="7"/>
        <v>0.015995134739221897</v>
      </c>
      <c r="Q32" s="68">
        <f t="shared" si="6"/>
        <v>0.9124092352730778</v>
      </c>
      <c r="R32" s="56">
        <f t="shared" si="8"/>
        <v>0.003809636377799852</v>
      </c>
      <c r="T32" s="61"/>
    </row>
    <row r="33" spans="6:20" ht="12.75">
      <c r="F33" s="32">
        <v>1.15</v>
      </c>
      <c r="G33" s="66">
        <f t="shared" si="10"/>
        <v>0.9657261244787054</v>
      </c>
      <c r="H33" s="60">
        <f t="shared" si="9"/>
        <v>0.03249999999999973</v>
      </c>
      <c r="I33" s="66">
        <f t="shared" si="1"/>
        <v>0</v>
      </c>
      <c r="J33" s="59">
        <f t="shared" si="2"/>
        <v>0</v>
      </c>
      <c r="K33" s="68">
        <f>SwapRate*SUMPRODUCT(G34:$G$112,J34:$J$112)/SUMPRODUCT(G34:$G$112,I34:$I$112)</f>
        <v>0.036134942745517686</v>
      </c>
      <c r="L33" s="59">
        <f t="shared" si="3"/>
        <v>0.2712423580861851</v>
      </c>
      <c r="M33" s="66">
        <f t="shared" si="4"/>
        <v>0.003147225717094859</v>
      </c>
      <c r="N33" s="59">
        <f>SUM(G34:$G$112)/G33*0.05</f>
        <v>3.5997964070178434</v>
      </c>
      <c r="O33" s="68">
        <f t="shared" si="5"/>
        <v>0.004471481849130585</v>
      </c>
      <c r="P33" s="61">
        <f t="shared" si="7"/>
        <v>0.01609642429454578</v>
      </c>
      <c r="Q33" s="68">
        <f t="shared" si="6"/>
        <v>0.9086154393563077</v>
      </c>
      <c r="R33" s="56">
        <f t="shared" si="8"/>
        <v>0.003793795916770093</v>
      </c>
      <c r="T33" s="61"/>
    </row>
    <row r="34" spans="6:20" ht="12.75">
      <c r="F34" s="32">
        <v>1.2</v>
      </c>
      <c r="G34" s="66">
        <f t="shared" si="10"/>
        <v>0.9641580938963241</v>
      </c>
      <c r="H34" s="60">
        <f t="shared" si="9"/>
        <v>0.032499999999999446</v>
      </c>
      <c r="I34" s="66">
        <f t="shared" si="1"/>
        <v>0</v>
      </c>
      <c r="J34" s="59">
        <f t="shared" si="2"/>
        <v>0</v>
      </c>
      <c r="K34" s="68">
        <f>SwapRate*SUMPRODUCT(G35:$G$112,J35:$J$112)/SUMPRODUCT(G35:$G$112,I35:$I$112)</f>
        <v>0.036134942745517686</v>
      </c>
      <c r="L34" s="59">
        <f t="shared" si="3"/>
        <v>0.2712367963575038</v>
      </c>
      <c r="M34" s="66">
        <f t="shared" si="4"/>
        <v>-0.0026244823950792306</v>
      </c>
      <c r="N34" s="59">
        <f>SUM(G35:$G$112)/G34*0.05</f>
        <v>3.5556508316109507</v>
      </c>
      <c r="O34" s="68">
        <f t="shared" si="5"/>
        <v>0.004551603259825506</v>
      </c>
      <c r="P34" s="61">
        <f t="shared" si="7"/>
        <v>0.016183911915961677</v>
      </c>
      <c r="Q34" s="68">
        <f t="shared" si="6"/>
        <v>0.9048374180359595</v>
      </c>
      <c r="R34" s="56">
        <f t="shared" si="8"/>
        <v>0.0037780213203482127</v>
      </c>
      <c r="T34" s="61"/>
    </row>
    <row r="35" spans="6:20" ht="12.75">
      <c r="F35" s="32">
        <v>1.25</v>
      </c>
      <c r="G35" s="66">
        <f t="shared" si="10"/>
        <v>0.9625926092944698</v>
      </c>
      <c r="H35" s="60">
        <f t="shared" si="9"/>
        <v>0.03249999999999931</v>
      </c>
      <c r="I35" s="66">
        <f t="shared" si="1"/>
        <v>0</v>
      </c>
      <c r="J35" s="59">
        <f t="shared" si="2"/>
        <v>0</v>
      </c>
      <c r="K35" s="68">
        <f>SwapRate*SUMPRODUCT(G36:$G$112,J36:$J$112)/SUMPRODUCT(G36:$G$112,I36:$I$112)</f>
        <v>0.036134942745517686</v>
      </c>
      <c r="L35" s="59">
        <f t="shared" si="3"/>
        <v>0.2713468701609796</v>
      </c>
      <c r="M35" s="66">
        <f t="shared" si="4"/>
        <v>-0.008161627026494145</v>
      </c>
      <c r="N35" s="59">
        <f>SUM(G36:$G$112)/G35*0.05</f>
        <v>3.5114334613264826</v>
      </c>
      <c r="O35" s="68">
        <f t="shared" si="5"/>
        <v>0.004630071016148856</v>
      </c>
      <c r="P35" s="61">
        <f t="shared" si="7"/>
        <v>0.016258186294423</v>
      </c>
      <c r="Q35" s="68">
        <f t="shared" si="6"/>
        <v>0.9010751057212906</v>
      </c>
      <c r="R35" s="56">
        <f t="shared" si="8"/>
        <v>0.0037623123146689474</v>
      </c>
      <c r="T35" s="61"/>
    </row>
    <row r="36" spans="6:20" ht="12.75">
      <c r="F36" s="32">
        <v>1.3</v>
      </c>
      <c r="G36" s="66">
        <f t="shared" si="10"/>
        <v>0.9610296665392837</v>
      </c>
      <c r="H36" s="60">
        <f t="shared" si="9"/>
        <v>0.03249999999999917</v>
      </c>
      <c r="I36" s="66">
        <f t="shared" si="1"/>
        <v>0</v>
      </c>
      <c r="J36" s="59">
        <f t="shared" si="2"/>
        <v>0</v>
      </c>
      <c r="K36" s="68">
        <f>SwapRate*SUMPRODUCT(G37:$G$112,J37:$J$112)/SUMPRODUCT(G37:$G$112,I37:$I$112)</f>
        <v>0.036134942745517686</v>
      </c>
      <c r="L36" s="59">
        <f t="shared" si="3"/>
        <v>0.2715591099097387</v>
      </c>
      <c r="M36" s="66">
        <f t="shared" si="4"/>
        <v>-0.013484746365045819</v>
      </c>
      <c r="N36" s="59">
        <f>SUM(G37:$G$112)/G36*0.05</f>
        <v>3.4671441794029203</v>
      </c>
      <c r="O36" s="68">
        <f t="shared" si="5"/>
        <v>0.0047069811116962346</v>
      </c>
      <c r="P36" s="61">
        <f t="shared" si="7"/>
        <v>0.016319782163977087</v>
      </c>
      <c r="Q36" s="68">
        <f t="shared" si="6"/>
        <v>0.8973284370942841</v>
      </c>
      <c r="R36" s="56">
        <f t="shared" si="8"/>
        <v>0.0037466686270064553</v>
      </c>
      <c r="T36" s="61"/>
    </row>
    <row r="37" spans="6:20" ht="12.75">
      <c r="F37" s="32">
        <v>1.35</v>
      </c>
      <c r="G37" s="66">
        <f t="shared" si="10"/>
        <v>0.9594692615036192</v>
      </c>
      <c r="H37" s="60">
        <f t="shared" si="9"/>
        <v>0.03249999999999917</v>
      </c>
      <c r="I37" s="66">
        <f t="shared" si="1"/>
        <v>0</v>
      </c>
      <c r="J37" s="59">
        <f t="shared" si="2"/>
        <v>0</v>
      </c>
      <c r="K37" s="68">
        <f>SwapRate*SUMPRODUCT(G38:$G$112,J38:$J$112)/SUMPRODUCT(G38:$G$112,I38:$I$112)</f>
        <v>0.036134942745517686</v>
      </c>
      <c r="L37" s="59">
        <f t="shared" si="3"/>
        <v>0.271861934624805</v>
      </c>
      <c r="M37" s="66">
        <f t="shared" si="4"/>
        <v>-0.018611816340751264</v>
      </c>
      <c r="N37" s="59">
        <f>SUM(G38:$G$112)/G37*0.05</f>
        <v>3.422782868888851</v>
      </c>
      <c r="O37" s="68">
        <f t="shared" si="5"/>
        <v>0.004782420558136866</v>
      </c>
      <c r="P37" s="61">
        <f t="shared" si="7"/>
        <v>0.01636918715821272</v>
      </c>
      <c r="Q37" s="68">
        <f t="shared" si="6"/>
        <v>0.8935973471085157</v>
      </c>
      <c r="R37" s="56">
        <f t="shared" si="8"/>
        <v>0.003731089985768432</v>
      </c>
      <c r="T37" s="61"/>
    </row>
    <row r="38" spans="6:20" ht="12.75">
      <c r="F38" s="32">
        <v>1.4</v>
      </c>
      <c r="G38" s="66">
        <f t="shared" si="10"/>
        <v>0.957911390067031</v>
      </c>
      <c r="H38" s="60">
        <f t="shared" si="9"/>
        <v>0.0324999999999989</v>
      </c>
      <c r="I38" s="66">
        <f t="shared" si="1"/>
        <v>0</v>
      </c>
      <c r="J38" s="59">
        <f t="shared" si="2"/>
        <v>0</v>
      </c>
      <c r="K38" s="68">
        <f>SwapRate*SUMPRODUCT(G39:$G$112,J39:$J$112)/SUMPRODUCT(G39:$G$112,I39:$I$112)</f>
        <v>0.036134942745517686</v>
      </c>
      <c r="L38" s="59">
        <f t="shared" si="3"/>
        <v>0.2722453342339043</v>
      </c>
      <c r="M38" s="66">
        <f t="shared" si="4"/>
        <v>-0.023558654921076505</v>
      </c>
      <c r="N38" s="59">
        <f>SUM(G39:$G$112)/G38*0.05</f>
        <v>3.3783494126426663</v>
      </c>
      <c r="O38" s="68">
        <f t="shared" si="5"/>
        <v>0.004856468520125532</v>
      </c>
      <c r="P38" s="61">
        <f t="shared" si="7"/>
        <v>0.01640684757248369</v>
      </c>
      <c r="Q38" s="68">
        <f t="shared" si="6"/>
        <v>0.8898817709880238</v>
      </c>
      <c r="R38" s="56">
        <f t="shared" si="8"/>
        <v>0.0037155761204918925</v>
      </c>
      <c r="T38" s="61"/>
    </row>
    <row r="39" spans="6:20" ht="12.75">
      <c r="F39" s="32">
        <v>1.45</v>
      </c>
      <c r="G39" s="66">
        <f t="shared" si="10"/>
        <v>0.9563560481157637</v>
      </c>
      <c r="H39" s="60">
        <f t="shared" si="9"/>
        <v>0.032499999999999446</v>
      </c>
      <c r="I39" s="66">
        <f t="shared" si="1"/>
        <v>0</v>
      </c>
      <c r="J39" s="59">
        <f t="shared" si="2"/>
        <v>0</v>
      </c>
      <c r="K39" s="68">
        <f>SwapRate*SUMPRODUCT(G40:$G$112,J40:$J$112)/SUMPRODUCT(G40:$G$112,I40:$I$112)</f>
        <v>0.036134942745517686</v>
      </c>
      <c r="L39" s="59">
        <f t="shared" si="3"/>
        <v>0.2727006140525734</v>
      </c>
      <c r="M39" s="66">
        <f t="shared" si="4"/>
        <v>-0.028339250417234008</v>
      </c>
      <c r="N39" s="59">
        <f>SUM(G40:$G$112)/G39*0.05</f>
        <v>3.333843693332243</v>
      </c>
      <c r="O39" s="68">
        <f t="shared" si="5"/>
        <v>0.004929197272229485</v>
      </c>
      <c r="P39" s="61">
        <f t="shared" si="7"/>
        <v>0.016433173239212766</v>
      </c>
      <c r="Q39" s="68">
        <f t="shared" si="6"/>
        <v>0.8861816442261853</v>
      </c>
      <c r="R39" s="56">
        <f t="shared" si="8"/>
        <v>0.003700126761838507</v>
      </c>
      <c r="T39" s="61"/>
    </row>
    <row r="40" spans="6:20" ht="12.75">
      <c r="F40" s="32">
        <v>1.5</v>
      </c>
      <c r="G40" s="66">
        <f t="shared" si="10"/>
        <v>0.9548032315427417</v>
      </c>
      <c r="H40" s="60">
        <f t="shared" si="9"/>
        <v>0.03249999999999889</v>
      </c>
      <c r="I40" s="66">
        <f t="shared" si="1"/>
        <v>0.017415</v>
      </c>
      <c r="J40" s="59">
        <f t="shared" si="2"/>
        <v>0.016249999999999445</v>
      </c>
      <c r="K40" s="68">
        <f>SwapRate*SUMPRODUCT(G41:$G$112,J41:$J$112)/SUMPRODUCT(G41:$G$112,I41:$I$112)</f>
        <v>0.03669207741202223</v>
      </c>
      <c r="L40" s="59">
        <f t="shared" si="3"/>
        <v>0.3231914674086879</v>
      </c>
      <c r="M40" s="66">
        <f t="shared" si="4"/>
        <v>0.01700524956079069</v>
      </c>
      <c r="N40" s="59">
        <f>SUM(G41:$G$112)/G40*0.05</f>
        <v>3.2892655934346404</v>
      </c>
      <c r="O40" s="68">
        <f t="shared" si="5"/>
        <v>0.005344558498107332</v>
      </c>
      <c r="P40" s="61">
        <f t="shared" si="7"/>
        <v>0.017579672379923167</v>
      </c>
      <c r="Q40" s="68">
        <f t="shared" si="6"/>
        <v>0.8824969025845955</v>
      </c>
      <c r="R40" s="56">
        <f t="shared" si="8"/>
        <v>0.003684741641589828</v>
      </c>
      <c r="T40" s="61"/>
    </row>
    <row r="41" spans="6:20" ht="12.75">
      <c r="F41" s="32">
        <v>1.55</v>
      </c>
      <c r="G41" s="66">
        <f t="shared" si="10"/>
        <v>0.9532529362475578</v>
      </c>
      <c r="H41" s="60">
        <f t="shared" si="9"/>
        <v>0.032499999999999724</v>
      </c>
      <c r="I41" s="66">
        <f t="shared" si="1"/>
        <v>0</v>
      </c>
      <c r="J41" s="59">
        <f t="shared" si="2"/>
        <v>0</v>
      </c>
      <c r="K41" s="68">
        <f>SwapRate*SUMPRODUCT(G42:$G$112,J42:$J$112)/SUMPRODUCT(G42:$G$112,I42:$I$112)</f>
        <v>0.03669207741202223</v>
      </c>
      <c r="L41" s="59">
        <f t="shared" si="3"/>
        <v>0.32295609215295806</v>
      </c>
      <c r="M41" s="66">
        <f t="shared" si="4"/>
        <v>0.01170860220323977</v>
      </c>
      <c r="N41" s="59">
        <f>SUM(G42:$G$112)/G41*0.05</f>
        <v>3.244614995235788</v>
      </c>
      <c r="O41" s="68">
        <f t="shared" si="5"/>
        <v>0.005414878359729952</v>
      </c>
      <c r="P41" s="61">
        <f t="shared" si="7"/>
        <v>0.01756919552335757</v>
      </c>
      <c r="Q41" s="68">
        <f t="shared" si="6"/>
        <v>0.8788274820919525</v>
      </c>
      <c r="R41" s="56">
        <f t="shared" si="8"/>
        <v>0.0036694204926429608</v>
      </c>
      <c r="T41" s="61"/>
    </row>
    <row r="42" spans="6:20" ht="12.75">
      <c r="F42" s="32">
        <v>1.6</v>
      </c>
      <c r="G42" s="66">
        <f t="shared" si="10"/>
        <v>0.9517051581364626</v>
      </c>
      <c r="H42" s="60">
        <f t="shared" si="9"/>
        <v>0.03249999999999903</v>
      </c>
      <c r="I42" s="66">
        <f t="shared" si="1"/>
        <v>0</v>
      </c>
      <c r="J42" s="59">
        <f t="shared" si="2"/>
        <v>0</v>
      </c>
      <c r="K42" s="68">
        <f>SwapRate*SUMPRODUCT(G43:$G$112,J43:$J$112)/SUMPRODUCT(G43:$G$112,I43:$I$112)</f>
        <v>0.03669207741202223</v>
      </c>
      <c r="L42" s="59">
        <f t="shared" si="3"/>
        <v>0.3228109104155726</v>
      </c>
      <c r="M42" s="66">
        <f t="shared" si="4"/>
        <v>0.006583144398734642</v>
      </c>
      <c r="N42" s="59">
        <f>SUM(G43:$G$112)/G42*0.05</f>
        <v>3.199891780830174</v>
      </c>
      <c r="O42" s="68">
        <f t="shared" si="5"/>
        <v>0.005484077125142189</v>
      </c>
      <c r="P42" s="61">
        <f t="shared" si="7"/>
        <v>0.017548453318181258</v>
      </c>
      <c r="Q42" s="68">
        <f t="shared" si="6"/>
        <v>0.8751733190429475</v>
      </c>
      <c r="R42" s="56">
        <f t="shared" si="8"/>
        <v>0.0036541630490050103</v>
      </c>
      <c r="T42" s="61"/>
    </row>
    <row r="43" spans="6:20" ht="12.75">
      <c r="F43" s="32">
        <v>1.65</v>
      </c>
      <c r="G43" s="66">
        <f t="shared" si="10"/>
        <v>0.9501598931223536</v>
      </c>
      <c r="H43" s="60">
        <f t="shared" si="9"/>
        <v>0.03249999999999987</v>
      </c>
      <c r="I43" s="66">
        <f aca="true" t="shared" si="11" ref="I43:I74">IF(ABS(MOD(F43,PayFrac))&lt;0.000001,SwapRate*PayFrac,0)</f>
        <v>0</v>
      </c>
      <c r="J43" s="59">
        <f aca="true" t="shared" si="12" ref="J43:J74">IF(ABS(MOD(F43,RecFrac))&lt;0.000001,H43*RecFrac,0)</f>
        <v>0</v>
      </c>
      <c r="K43" s="68">
        <f>SwapRate*SUMPRODUCT(G44:$G$112,J44:$J$112)/SUMPRODUCT(G44:$G$112,I44:$I$112)</f>
        <v>0.03669207741202223</v>
      </c>
      <c r="L43" s="59">
        <f aca="true" t="shared" si="13" ref="L43:L74">(LN(K43/SwapRate)+0.5*SwapRateVol^2*F43)/(SwapRateVol*SQRT(F43))</f>
        <v>0.32274782854059864</v>
      </c>
      <c r="M43" s="66">
        <f aca="true" t="shared" si="14" ref="M43:M74">L43-SwapRateVol*SQRT(F43)</f>
        <v>0.001617014073970413</v>
      </c>
      <c r="N43" s="59">
        <f>SUM(G44:$G$112)/G43*0.05</f>
        <v>3.1550958321205336</v>
      </c>
      <c r="O43" s="68">
        <f aca="true" t="shared" si="15" ref="O43:O74">IF(PayRec="PAY",K43*NORMSDIST(L43)-SwapRate*NORMSDIST(M43),SwapRate*NORMSDIST(-M43)-K43*NORMSDIST(-L43))</f>
        <v>0.005552205125160799</v>
      </c>
      <c r="P43" s="61">
        <f t="shared" si="7"/>
        <v>0.017517739249473103</v>
      </c>
      <c r="Q43" s="68">
        <f aca="true" t="shared" si="16" ref="Q43:Q74">EXP(-F43*CDSPrem/10000/(1-Recovery))</f>
        <v>0.8715343499971578</v>
      </c>
      <c r="R43" s="56">
        <f t="shared" si="8"/>
        <v>0.0036389690457896418</v>
      </c>
      <c r="T43" s="61"/>
    </row>
    <row r="44" spans="6:20" ht="12.75">
      <c r="F44" s="32">
        <v>1.7</v>
      </c>
      <c r="G44" s="66">
        <f t="shared" si="10"/>
        <v>0.9486171371247645</v>
      </c>
      <c r="H44" s="60">
        <f t="shared" si="9"/>
        <v>0.0325</v>
      </c>
      <c r="I44" s="66">
        <f t="shared" si="11"/>
        <v>0</v>
      </c>
      <c r="J44" s="59">
        <f t="shared" si="12"/>
        <v>0</v>
      </c>
      <c r="K44" s="68">
        <f>SwapRate*SUMPRODUCT(G45:$G$112,J45:$J$112)/SUMPRODUCT(G45:$G$112,I45:$I$112)</f>
        <v>0.03669207741202223</v>
      </c>
      <c r="L44" s="59">
        <f t="shared" si="13"/>
        <v>0.32275964606534646</v>
      </c>
      <c r="M44" s="66">
        <f t="shared" si="14"/>
        <v>-0.003200474194785974</v>
      </c>
      <c r="N44" s="59">
        <f>SUM(G45:$G$112)/G44*0.05</f>
        <v>3.11022703081754</v>
      </c>
      <c r="O44" s="68">
        <f t="shared" si="15"/>
        <v>0.005619309013807</v>
      </c>
      <c r="P44" s="61">
        <f t="shared" si="7"/>
        <v>0.017477326789259187</v>
      </c>
      <c r="Q44" s="68">
        <f t="shared" si="16"/>
        <v>0.8679105117779463</v>
      </c>
      <c r="R44" s="56">
        <f t="shared" si="8"/>
        <v>0.003623838219211528</v>
      </c>
      <c r="T44" s="61"/>
    </row>
    <row r="45" spans="6:20" ht="12.75">
      <c r="F45" s="32">
        <v>1.75</v>
      </c>
      <c r="G45" s="66">
        <f t="shared" si="10"/>
        <v>0.9470768860698543</v>
      </c>
      <c r="H45" s="60">
        <f t="shared" si="9"/>
        <v>0.03249999999999986</v>
      </c>
      <c r="I45" s="66">
        <f t="shared" si="11"/>
        <v>0</v>
      </c>
      <c r="J45" s="59">
        <f t="shared" si="12"/>
        <v>0</v>
      </c>
      <c r="K45" s="68">
        <f>SwapRate*SUMPRODUCT(G46:$G$112,J46:$J$112)/SUMPRODUCT(G46:$G$112,I46:$I$112)</f>
        <v>0.03669207741202223</v>
      </c>
      <c r="L45" s="59">
        <f t="shared" si="13"/>
        <v>0.32283993616502543</v>
      </c>
      <c r="M45" s="66">
        <f t="shared" si="14"/>
        <v>-0.007878977718048408</v>
      </c>
      <c r="N45" s="59">
        <f>SUM(G46:$G$112)/G45*0.05</f>
        <v>3.0652852584394883</v>
      </c>
      <c r="O45" s="68">
        <f t="shared" si="15"/>
        <v>0.005685432133868379</v>
      </c>
      <c r="P45" s="61">
        <f t="shared" si="7"/>
        <v>0.017427471307804906</v>
      </c>
      <c r="Q45" s="68">
        <f t="shared" si="16"/>
        <v>0.864301741471364</v>
      </c>
      <c r="R45" s="56">
        <f t="shared" si="8"/>
        <v>0.003608770306582354</v>
      </c>
      <c r="T45" s="61"/>
    </row>
    <row r="46" spans="6:20" ht="12.75">
      <c r="F46" s="32">
        <v>1.8</v>
      </c>
      <c r="G46" s="66">
        <f t="shared" si="10"/>
        <v>0.9455391358903967</v>
      </c>
      <c r="H46" s="60">
        <f t="shared" si="9"/>
        <v>0.032499999999999446</v>
      </c>
      <c r="I46" s="66">
        <f t="shared" si="11"/>
        <v>0</v>
      </c>
      <c r="J46" s="59">
        <f t="shared" si="12"/>
        <v>0</v>
      </c>
      <c r="K46" s="68">
        <f>SwapRate*SUMPRODUCT(G47:$G$112,J47:$J$112)/SUMPRODUCT(G47:$G$112,I47:$I$112)</f>
        <v>0.03669207741202223</v>
      </c>
      <c r="L46" s="59">
        <f t="shared" si="13"/>
        <v>0.32298294487363755</v>
      </c>
      <c r="M46" s="66">
        <f t="shared" si="14"/>
        <v>-0.012427251751330914</v>
      </c>
      <c r="N46" s="59">
        <f>SUM(G47:$G$112)/G46*0.05</f>
        <v>3.020270396311984</v>
      </c>
      <c r="O46" s="68">
        <f t="shared" si="15"/>
        <v>0.005750614837025797</v>
      </c>
      <c r="P46" s="61">
        <f t="shared" si="7"/>
        <v>0.01736841175286148</v>
      </c>
      <c r="Q46" s="68">
        <f t="shared" si="16"/>
        <v>0.8607079764250578</v>
      </c>
      <c r="R46" s="56">
        <f t="shared" si="8"/>
        <v>0.003593765046306152</v>
      </c>
      <c r="T46" s="61"/>
    </row>
    <row r="47" spans="6:20" ht="12.75">
      <c r="F47" s="32">
        <v>1.85</v>
      </c>
      <c r="G47" s="66">
        <f t="shared" si="10"/>
        <v>0.9440038825257693</v>
      </c>
      <c r="H47" s="60">
        <f t="shared" si="9"/>
        <v>0.03250000000000014</v>
      </c>
      <c r="I47" s="66">
        <f t="shared" si="11"/>
        <v>0</v>
      </c>
      <c r="J47" s="59">
        <f t="shared" si="12"/>
        <v>0</v>
      </c>
      <c r="K47" s="68">
        <f>SwapRate*SUMPRODUCT(G48:$G$112,J48:$J$112)/SUMPRODUCT(G48:$G$112,I48:$I$112)</f>
        <v>0.03669207741202223</v>
      </c>
      <c r="L47" s="59">
        <f t="shared" si="13"/>
        <v>0.32318350571285465</v>
      </c>
      <c r="M47" s="66">
        <f t="shared" si="14"/>
        <v>-0.01685325700553142</v>
      </c>
      <c r="N47" s="59">
        <f>SUM(G48:$G$112)/G47*0.05</f>
        <v>2.975182325567631</v>
      </c>
      <c r="O47" s="68">
        <f t="shared" si="15"/>
        <v>0.005814894765260033</v>
      </c>
      <c r="P47" s="61">
        <f t="shared" si="7"/>
        <v>0.017300372130637388</v>
      </c>
      <c r="Q47" s="68">
        <f t="shared" si="16"/>
        <v>0.8571291542471833</v>
      </c>
      <c r="R47" s="56">
        <f t="shared" si="8"/>
        <v>0.00357882217787453</v>
      </c>
      <c r="T47" s="61"/>
    </row>
    <row r="48" spans="6:20" ht="12.75">
      <c r="F48" s="32">
        <v>1.9</v>
      </c>
      <c r="G48" s="66">
        <f t="shared" si="10"/>
        <v>0.9424711219219427</v>
      </c>
      <c r="H48" s="60">
        <f t="shared" si="9"/>
        <v>0.03249999999999904</v>
      </c>
      <c r="I48" s="66">
        <f t="shared" si="11"/>
        <v>0</v>
      </c>
      <c r="J48" s="59">
        <f t="shared" si="12"/>
        <v>0</v>
      </c>
      <c r="K48" s="68">
        <f>SwapRate*SUMPRODUCT(G49:$G$112,J49:$J$112)/SUMPRODUCT(G49:$G$112,I49:$I$112)</f>
        <v>0.03669207741202223</v>
      </c>
      <c r="L48" s="59">
        <f t="shared" si="13"/>
        <v>0.32343696703677643</v>
      </c>
      <c r="M48" s="66">
        <f t="shared" si="14"/>
        <v>-0.021164251765479092</v>
      </c>
      <c r="N48" s="59">
        <f>SUM(G49:$G$112)/G48*0.05</f>
        <v>2.930020927145716</v>
      </c>
      <c r="O48" s="68">
        <f t="shared" si="15"/>
        <v>0.005878307099111007</v>
      </c>
      <c r="P48" s="61">
        <f t="shared" si="7"/>
        <v>0.01722356281658448</v>
      </c>
      <c r="Q48" s="68">
        <f t="shared" si="16"/>
        <v>0.8535652128053209</v>
      </c>
      <c r="R48" s="56">
        <f t="shared" si="8"/>
        <v>0.0035639414418623394</v>
      </c>
      <c r="T48" s="61"/>
    </row>
    <row r="49" spans="6:20" ht="12.75">
      <c r="F49" s="32">
        <v>1.95</v>
      </c>
      <c r="G49" s="66">
        <f t="shared" si="10"/>
        <v>0.9409408500314701</v>
      </c>
      <c r="H49" s="60">
        <f t="shared" si="9"/>
        <v>0.03249999999999917</v>
      </c>
      <c r="I49" s="66">
        <f t="shared" si="11"/>
        <v>0</v>
      </c>
      <c r="J49" s="59">
        <f t="shared" si="12"/>
        <v>0</v>
      </c>
      <c r="K49" s="68">
        <f>SwapRate*SUMPRODUCT(G50:$G$112,J50:$J$112)/SUMPRODUCT(G50:$G$112,I50:$I$112)</f>
        <v>0.03669207741202223</v>
      </c>
      <c r="L49" s="59">
        <f t="shared" si="13"/>
        <v>0.32373912992711423</v>
      </c>
      <c r="M49" s="66">
        <f t="shared" si="14"/>
        <v>-0.025366871167109284</v>
      </c>
      <c r="N49" s="59">
        <f>SUM(G50:$G$112)/G49*0.05</f>
        <v>2.8847860817918956</v>
      </c>
      <c r="O49" s="68">
        <f t="shared" si="15"/>
        <v>0.005940884777439183</v>
      </c>
      <c r="P49" s="61">
        <f t="shared" si="7"/>
        <v>0.017138181719485897</v>
      </c>
      <c r="Q49" s="68">
        <f t="shared" si="16"/>
        <v>0.8500160902253981</v>
      </c>
      <c r="R49" s="56">
        <f t="shared" si="8"/>
        <v>0.003549122579922792</v>
      </c>
      <c r="T49" s="61"/>
    </row>
    <row r="50" spans="6:20" ht="12.75">
      <c r="F50" s="32">
        <v>2</v>
      </c>
      <c r="G50" s="66">
        <f t="shared" si="10"/>
        <v>0.9394130628134764</v>
      </c>
      <c r="H50" s="60">
        <f t="shared" si="9"/>
        <v>0.03249999999999931</v>
      </c>
      <c r="I50" s="66">
        <f t="shared" si="11"/>
        <v>0.017415</v>
      </c>
      <c r="J50" s="59">
        <f t="shared" si="12"/>
        <v>0.016249999999999654</v>
      </c>
      <c r="K50" s="68">
        <f>SwapRate*SUMPRODUCT(G51:$G$112,J51:$J$112)/SUMPRODUCT(G51:$G$112,I51:$I$112)</f>
        <v>0.03743650993364908</v>
      </c>
      <c r="L50" s="59">
        <f t="shared" si="13"/>
        <v>0.38089677227056773</v>
      </c>
      <c r="M50" s="66">
        <f t="shared" si="14"/>
        <v>0.027343381677293943</v>
      </c>
      <c r="N50" s="59">
        <f>SUM(G51:$G$112)/G50*0.05</f>
        <v>2.8394776700578794</v>
      </c>
      <c r="O50" s="68">
        <f t="shared" si="15"/>
        <v>0.006477445118548551</v>
      </c>
      <c r="P50" s="61">
        <f t="shared" si="7"/>
        <v>0.018392560773144023</v>
      </c>
      <c r="Q50" s="68">
        <f t="shared" si="16"/>
        <v>0.846481724890614</v>
      </c>
      <c r="R50" s="56">
        <f t="shared" si="8"/>
        <v>0.0035343653347841286</v>
      </c>
      <c r="T50" s="61"/>
    </row>
    <row r="51" spans="6:20" ht="12.75">
      <c r="F51" s="32">
        <v>2.05</v>
      </c>
      <c r="G51" s="66">
        <f aca="true" t="shared" si="17" ref="G51:G70">G50*EXP(-(F51-F50)*IRate3)</f>
        <v>0.937770527591061</v>
      </c>
      <c r="H51" s="60">
        <f t="shared" si="9"/>
        <v>0.03499999999999988</v>
      </c>
      <c r="I51" s="66">
        <f t="shared" si="11"/>
        <v>0</v>
      </c>
      <c r="J51" s="59">
        <f t="shared" si="12"/>
        <v>0</v>
      </c>
      <c r="K51" s="68">
        <f>SwapRate*SUMPRODUCT(G52:$G$112,J52:$J$112)/SUMPRODUCT(G52:$G$112,I52:$I$112)</f>
        <v>0.03743650993364908</v>
      </c>
      <c r="L51" s="59">
        <f t="shared" si="13"/>
        <v>0.3805882045884983</v>
      </c>
      <c r="M51" s="66">
        <f t="shared" si="14"/>
        <v>0.02264267800658948</v>
      </c>
      <c r="N51" s="59">
        <f>SUM(G52:$G$112)/G51*0.05</f>
        <v>2.794451106468077</v>
      </c>
      <c r="O51" s="68">
        <f t="shared" si="15"/>
        <v>0.006538455442845766</v>
      </c>
      <c r="P51" s="61">
        <f t="shared" si="7"/>
        <v>0.01827139404685257</v>
      </c>
      <c r="Q51" s="68">
        <f t="shared" si="16"/>
        <v>0.8429620554403707</v>
      </c>
      <c r="R51" s="56">
        <f t="shared" si="8"/>
        <v>0.00351966945024329</v>
      </c>
      <c r="T51" s="61"/>
    </row>
    <row r="52" spans="6:20" ht="12.75">
      <c r="F52" s="32">
        <v>2.1</v>
      </c>
      <c r="G52" s="66">
        <f t="shared" si="17"/>
        <v>0.9361308642916195</v>
      </c>
      <c r="H52" s="60">
        <f t="shared" si="9"/>
        <v>0.0349999999999979</v>
      </c>
      <c r="I52" s="66">
        <f t="shared" si="11"/>
        <v>0</v>
      </c>
      <c r="J52" s="59">
        <f t="shared" si="12"/>
        <v>0</v>
      </c>
      <c r="K52" s="68">
        <f>SwapRate*SUMPRODUCT(G53:$G$112,J53:$J$112)/SUMPRODUCT(G53:$G$112,I53:$I$112)</f>
        <v>0.03743650993364908</v>
      </c>
      <c r="L52" s="59">
        <f t="shared" si="13"/>
        <v>0.3803430073364873</v>
      </c>
      <c r="M52" s="66">
        <f t="shared" si="14"/>
        <v>0.01805858868175131</v>
      </c>
      <c r="N52" s="59">
        <f>SUM(G53:$G$112)/G52*0.05</f>
        <v>2.749345677404831</v>
      </c>
      <c r="O52" s="68">
        <f t="shared" si="15"/>
        <v>0.00659873251086783</v>
      </c>
      <c r="P52" s="61">
        <f t="shared" si="7"/>
        <v>0.018142196705105196</v>
      </c>
      <c r="Q52" s="68">
        <f t="shared" si="16"/>
        <v>0.8394570207692074</v>
      </c>
      <c r="R52" s="56">
        <f t="shared" si="8"/>
        <v>0.003505034671163365</v>
      </c>
      <c r="T52" s="61"/>
    </row>
    <row r="53" spans="6:20" ht="12.75">
      <c r="F53" s="32">
        <v>2.15</v>
      </c>
      <c r="G53" s="66">
        <f t="shared" si="17"/>
        <v>0.9344940678936815</v>
      </c>
      <c r="H53" s="60">
        <f t="shared" si="9"/>
        <v>0.03499999999999877</v>
      </c>
      <c r="I53" s="66">
        <f t="shared" si="11"/>
        <v>0</v>
      </c>
      <c r="J53" s="59">
        <f t="shared" si="12"/>
        <v>0</v>
      </c>
      <c r="K53" s="68">
        <f>SwapRate*SUMPRODUCT(G54:$G$112,J54:$J$112)/SUMPRODUCT(G54:$G$112,I54:$I$112)</f>
        <v>0.03743650993364908</v>
      </c>
      <c r="L53" s="59">
        <f t="shared" si="13"/>
        <v>0.3801568626957901</v>
      </c>
      <c r="M53" s="66">
        <f t="shared" si="14"/>
        <v>0.01358490523041056</v>
      </c>
      <c r="N53" s="59">
        <f>SUM(G54:$G$112)/G53*0.05</f>
        <v>2.7041612447327275</v>
      </c>
      <c r="O53" s="68">
        <f t="shared" si="15"/>
        <v>0.0066583010453907625</v>
      </c>
      <c r="P53" s="61">
        <f t="shared" si="7"/>
        <v>0.018005119642709105</v>
      </c>
      <c r="Q53" s="68">
        <f t="shared" si="16"/>
        <v>0.8359665600257394</v>
      </c>
      <c r="R53" s="56">
        <f t="shared" si="8"/>
        <v>0.003490460743467927</v>
      </c>
      <c r="T53" s="61"/>
    </row>
    <row r="54" spans="6:20" ht="12.75">
      <c r="F54" s="32">
        <v>2.2</v>
      </c>
      <c r="G54" s="66">
        <f t="shared" si="17"/>
        <v>0.9328601333845568</v>
      </c>
      <c r="H54" s="60">
        <f t="shared" si="9"/>
        <v>0.03499999999999901</v>
      </c>
      <c r="I54" s="66">
        <f t="shared" si="11"/>
        <v>0</v>
      </c>
      <c r="J54" s="59">
        <f t="shared" si="12"/>
        <v>0</v>
      </c>
      <c r="K54" s="68">
        <f>SwapRate*SUMPRODUCT(G55:$G$112,J55:$J$112)/SUMPRODUCT(G55:$G$112,I55:$I$112)</f>
        <v>0.03743650993364908</v>
      </c>
      <c r="L54" s="59">
        <f t="shared" si="13"/>
        <v>0.38002581928596524</v>
      </c>
      <c r="M54" s="66">
        <f t="shared" si="14"/>
        <v>0.009215894931182078</v>
      </c>
      <c r="N54" s="59">
        <f>SUM(G55:$G$112)/G54*0.05</f>
        <v>2.6588976700744085</v>
      </c>
      <c r="O54" s="68">
        <f t="shared" si="15"/>
        <v>0.006717184401241333</v>
      </c>
      <c r="P54" s="61">
        <f t="shared" si="7"/>
        <v>0.01786030595392074</v>
      </c>
      <c r="Q54" s="68">
        <f t="shared" si="16"/>
        <v>0.8324906126116026</v>
      </c>
      <c r="R54" s="56">
        <f t="shared" si="8"/>
        <v>0.003475947414136815</v>
      </c>
      <c r="T54" s="61"/>
    </row>
    <row r="55" spans="6:20" ht="12.75">
      <c r="F55" s="32">
        <v>2.25</v>
      </c>
      <c r="G55" s="66">
        <f t="shared" si="17"/>
        <v>0.9312290557603196</v>
      </c>
      <c r="H55" s="60">
        <f t="shared" si="9"/>
        <v>0.035000000000000434</v>
      </c>
      <c r="I55" s="66">
        <f t="shared" si="11"/>
        <v>0</v>
      </c>
      <c r="J55" s="59">
        <f t="shared" si="12"/>
        <v>0</v>
      </c>
      <c r="K55" s="68">
        <f>SwapRate*SUMPRODUCT(G56:$G$112,J56:$J$112)/SUMPRODUCT(G56:$G$112,I56:$I$112)</f>
        <v>0.03743650993364908</v>
      </c>
      <c r="L55" s="59">
        <f t="shared" si="13"/>
        <v>0.37994625413944877</v>
      </c>
      <c r="M55" s="66">
        <f t="shared" si="14"/>
        <v>0.004946254139448769</v>
      </c>
      <c r="N55" s="59">
        <f>SUM(G56:$G$112)/G55*0.05</f>
        <v>2.61355481481014</v>
      </c>
      <c r="O55" s="68">
        <f t="shared" si="15"/>
        <v>0.006775404668988079</v>
      </c>
      <c r="P55" s="61">
        <f t="shared" si="7"/>
        <v>0.017707891494920896</v>
      </c>
      <c r="Q55" s="68">
        <f t="shared" si="16"/>
        <v>0.8290291181804004</v>
      </c>
      <c r="R55" s="56">
        <f t="shared" si="8"/>
        <v>0.00346149443120225</v>
      </c>
      <c r="T55" s="61"/>
    </row>
    <row r="56" spans="6:20" ht="12.75">
      <c r="F56" s="32">
        <v>2.3</v>
      </c>
      <c r="G56" s="66">
        <f t="shared" si="17"/>
        <v>0.9296008300257935</v>
      </c>
      <c r="H56" s="60">
        <f t="shared" si="9"/>
        <v>0.034999999999999046</v>
      </c>
      <c r="I56" s="66">
        <f t="shared" si="11"/>
        <v>0</v>
      </c>
      <c r="J56" s="59">
        <f t="shared" si="12"/>
        <v>0</v>
      </c>
      <c r="K56" s="68">
        <f>SwapRate*SUMPRODUCT(G57:$G$112,J57:$J$112)/SUMPRODUCT(G57:$G$112,I57:$I$112)</f>
        <v>0.03743650993364908</v>
      </c>
      <c r="L56" s="59">
        <f t="shared" si="13"/>
        <v>0.37991483933786224</v>
      </c>
      <c r="M56" s="66">
        <f t="shared" si="14"/>
        <v>0.000771067135284742</v>
      </c>
      <c r="N56" s="59">
        <f>SUM(G57:$G$112)/G56*0.05</f>
        <v>2.568132540077393</v>
      </c>
      <c r="O56" s="68">
        <f t="shared" si="15"/>
        <v>0.006832982768748278</v>
      </c>
      <c r="P56" s="61">
        <f t="shared" si="7"/>
        <v>0.017548005394210572</v>
      </c>
      <c r="Q56" s="68">
        <f t="shared" si="16"/>
        <v>0.8255820166366561</v>
      </c>
      <c r="R56" s="56">
        <f t="shared" si="8"/>
        <v>0.00344710154374428</v>
      </c>
      <c r="T56" s="61"/>
    </row>
    <row r="57" spans="6:20" ht="12.75">
      <c r="F57" s="32">
        <v>2.35</v>
      </c>
      <c r="G57" s="66">
        <f t="shared" si="17"/>
        <v>0.927975451194536</v>
      </c>
      <c r="H57" s="60">
        <f t="shared" si="9"/>
        <v>0.03499999999999929</v>
      </c>
      <c r="I57" s="66">
        <f t="shared" si="11"/>
        <v>0</v>
      </c>
      <c r="J57" s="59">
        <f t="shared" si="12"/>
        <v>0</v>
      </c>
      <c r="K57" s="68">
        <f>SwapRate*SUMPRODUCT(G58:$G$112,J58:$J$112)/SUMPRODUCT(G58:$G$112,I58:$I$112)</f>
        <v>0.03743650993364908</v>
      </c>
      <c r="L57" s="59">
        <f t="shared" si="13"/>
        <v>0.3799285126531581</v>
      </c>
      <c r="M57" s="66">
        <f t="shared" si="14"/>
        <v>-0.0033142302657392375</v>
      </c>
      <c r="N57" s="59">
        <f>SUM(G58:$G$112)/G57*0.05</f>
        <v>2.5226307067704155</v>
      </c>
      <c r="O57" s="68">
        <f t="shared" si="15"/>
        <v>0.006889938535237561</v>
      </c>
      <c r="P57" s="61">
        <f t="shared" si="7"/>
        <v>0.01738077051675105</v>
      </c>
      <c r="Q57" s="68">
        <f t="shared" si="16"/>
        <v>0.8221492481347705</v>
      </c>
      <c r="R57" s="56">
        <f t="shared" si="8"/>
        <v>0.0034327685018855636</v>
      </c>
      <c r="T57" s="61"/>
    </row>
    <row r="58" spans="6:20" ht="12.75">
      <c r="F58" s="32">
        <v>2.4</v>
      </c>
      <c r="G58" s="66">
        <f t="shared" si="17"/>
        <v>0.9263529142888229</v>
      </c>
      <c r="H58" s="60">
        <f t="shared" si="9"/>
        <v>0.035000000000000156</v>
      </c>
      <c r="I58" s="66">
        <f t="shared" si="11"/>
        <v>0</v>
      </c>
      <c r="J58" s="59">
        <f t="shared" si="12"/>
        <v>0</v>
      </c>
      <c r="K58" s="68">
        <f>SwapRate*SUMPRODUCT(G59:$G$112,J59:$J$112)/SUMPRODUCT(G59:$G$112,I59:$I$112)</f>
        <v>0.03743650993364908</v>
      </c>
      <c r="L58" s="59">
        <f t="shared" si="13"/>
        <v>0.3799844516408921</v>
      </c>
      <c r="M58" s="66">
        <f t="shared" si="14"/>
        <v>-0.007313882979849584</v>
      </c>
      <c r="N58" s="59">
        <f>SUM(G59:$G$112)/G58*0.05</f>
        <v>2.4770491755398067</v>
      </c>
      <c r="O58" s="68">
        <f t="shared" si="15"/>
        <v>0.006946290795040076</v>
      </c>
      <c r="P58" s="61">
        <f t="shared" si="7"/>
        <v>0.01720630388691377</v>
      </c>
      <c r="Q58" s="68">
        <f t="shared" si="16"/>
        <v>0.8187307530779818</v>
      </c>
      <c r="R58" s="56">
        <f t="shared" si="8"/>
        <v>0.0034184950567887062</v>
      </c>
      <c r="T58" s="61"/>
    </row>
    <row r="59" spans="6:20" ht="12.75">
      <c r="F59" s="32">
        <v>2.45</v>
      </c>
      <c r="G59" s="66">
        <f t="shared" si="17"/>
        <v>0.924733214339634</v>
      </c>
      <c r="H59" s="60">
        <f t="shared" si="9"/>
        <v>0.03499999999999929</v>
      </c>
      <c r="I59" s="66">
        <f t="shared" si="11"/>
        <v>0</v>
      </c>
      <c r="J59" s="59">
        <f t="shared" si="12"/>
        <v>0</v>
      </c>
      <c r="K59" s="68">
        <f>SwapRate*SUMPRODUCT(G60:$G$112,J60:$J$112)/SUMPRODUCT(G60:$G$112,I60:$I$112)</f>
        <v>0.03743650993364908</v>
      </c>
      <c r="L59" s="59">
        <f t="shared" si="13"/>
        <v>0.3800800507188063</v>
      </c>
      <c r="M59" s="66">
        <f t="shared" si="14"/>
        <v>-0.011231845343656899</v>
      </c>
      <c r="N59" s="59">
        <f>SUM(G60:$G$112)/G59*0.05</f>
        <v>2.431387806792092</v>
      </c>
      <c r="O59" s="68">
        <f t="shared" si="15"/>
        <v>0.007002057436950926</v>
      </c>
      <c r="P59" s="61">
        <f t="shared" si="7"/>
        <v>0.01702471707466037</v>
      </c>
      <c r="Q59" s="68">
        <f t="shared" si="16"/>
        <v>0.8153264721173319</v>
      </c>
      <c r="R59" s="56">
        <f t="shared" si="8"/>
        <v>0.0034042809606499302</v>
      </c>
      <c r="T59" s="61"/>
    </row>
    <row r="60" spans="6:20" ht="12.75">
      <c r="F60" s="32">
        <v>2.5</v>
      </c>
      <c r="G60" s="66">
        <f t="shared" si="17"/>
        <v>0.9231163463866366</v>
      </c>
      <c r="H60" s="60">
        <f t="shared" si="9"/>
        <v>0.03499999999999988</v>
      </c>
      <c r="I60" s="66">
        <f t="shared" si="11"/>
        <v>0.017415</v>
      </c>
      <c r="J60" s="59">
        <f t="shared" si="12"/>
        <v>0.01749999999999994</v>
      </c>
      <c r="K60" s="68">
        <f>SwapRate*SUMPRODUCT(G61:$G$112,J61:$J$112)/SUMPRODUCT(G61:$G$112,I61:$I$112)</f>
        <v>0.03795155721150849</v>
      </c>
      <c r="L60" s="59">
        <f t="shared" si="13"/>
        <v>0.41478065997402386</v>
      </c>
      <c r="M60" s="66">
        <f t="shared" si="14"/>
        <v>0.019495952452976417</v>
      </c>
      <c r="N60" s="59">
        <f>SUM(G61:$G$112)/G60*0.05</f>
        <v>2.385646460689295</v>
      </c>
      <c r="O60" s="68">
        <f t="shared" si="15"/>
        <v>0.007394357336410445</v>
      </c>
      <c r="P60" s="61">
        <f t="shared" si="7"/>
        <v>0.017640322408679503</v>
      </c>
      <c r="Q60" s="68">
        <f t="shared" si="16"/>
        <v>0.8119363461506349</v>
      </c>
      <c r="R60" s="56">
        <f t="shared" si="8"/>
        <v>0.0033901259666969663</v>
      </c>
      <c r="T60" s="61"/>
    </row>
    <row r="61" spans="6:20" ht="12.75">
      <c r="F61" s="32">
        <v>2.55</v>
      </c>
      <c r="G61" s="66">
        <f t="shared" si="17"/>
        <v>0.9215023054781717</v>
      </c>
      <c r="H61" s="60">
        <f t="shared" si="9"/>
        <v>0.03499999999999821</v>
      </c>
      <c r="I61" s="66">
        <f t="shared" si="11"/>
        <v>0</v>
      </c>
      <c r="J61" s="59">
        <f t="shared" si="12"/>
        <v>0</v>
      </c>
      <c r="K61" s="68">
        <f>SwapRate*SUMPRODUCT(G62:$G$112,J62:$J$112)/SUMPRODUCT(G62:$G$112,I62:$I$112)</f>
        <v>0.03795155721150849</v>
      </c>
      <c r="L61" s="59">
        <f t="shared" si="13"/>
        <v>0.41460795316680527</v>
      </c>
      <c r="M61" s="66">
        <f t="shared" si="14"/>
        <v>0.01538996760002248</v>
      </c>
      <c r="N61" s="59">
        <f>SUM(G62:$G$112)/G61*0.05</f>
        <v>2.3398249971485052</v>
      </c>
      <c r="O61" s="68">
        <f t="shared" si="15"/>
        <v>0.007449002513978783</v>
      </c>
      <c r="P61" s="61">
        <f t="shared" si="7"/>
        <v>0.017429362286029614</v>
      </c>
      <c r="Q61" s="68">
        <f t="shared" si="16"/>
        <v>0.8085603163214524</v>
      </c>
      <c r="R61" s="56">
        <f t="shared" si="8"/>
        <v>0.003376029829182503</v>
      </c>
      <c r="T61" s="61"/>
    </row>
    <row r="62" spans="6:20" ht="12.75">
      <c r="F62" s="32">
        <v>2.6</v>
      </c>
      <c r="G62" s="66">
        <f t="shared" si="17"/>
        <v>0.9198910866712374</v>
      </c>
      <c r="H62" s="60">
        <f t="shared" si="9"/>
        <v>0.03499999999999929</v>
      </c>
      <c r="I62" s="66">
        <f t="shared" si="11"/>
        <v>0</v>
      </c>
      <c r="J62" s="59">
        <f t="shared" si="12"/>
        <v>0</v>
      </c>
      <c r="K62" s="68">
        <f>SwapRate*SUMPRODUCT(G63:$G$112,J63:$J$112)/SUMPRODUCT(G63:$G$112,I63:$I$112)</f>
        <v>0.03795155721150849</v>
      </c>
      <c r="L62" s="59">
        <f t="shared" si="13"/>
        <v>0.4144780707326796</v>
      </c>
      <c r="M62" s="66">
        <f t="shared" si="14"/>
        <v>0.011365183317752103</v>
      </c>
      <c r="N62" s="59">
        <f>SUM(G63:$G$112)/G62*0.05</f>
        <v>2.2939232758414563</v>
      </c>
      <c r="O62" s="68">
        <f t="shared" si="15"/>
        <v>0.007503117920349047</v>
      </c>
      <c r="P62" s="61">
        <f t="shared" si="7"/>
        <v>0.017211576838871822</v>
      </c>
      <c r="Q62" s="68">
        <f t="shared" si="16"/>
        <v>0.8051983240180706</v>
      </c>
      <c r="R62" s="56">
        <f t="shared" si="8"/>
        <v>0.0033619923033818555</v>
      </c>
      <c r="T62" s="61"/>
    </row>
    <row r="63" spans="6:20" ht="12.75">
      <c r="F63" s="32">
        <v>2.65</v>
      </c>
      <c r="G63" s="66">
        <f t="shared" si="17"/>
        <v>0.918282685031475</v>
      </c>
      <c r="H63" s="60">
        <f t="shared" si="9"/>
        <v>0.035000000000000156</v>
      </c>
      <c r="I63" s="66">
        <f t="shared" si="11"/>
        <v>0</v>
      </c>
      <c r="J63" s="59">
        <f t="shared" si="12"/>
        <v>0</v>
      </c>
      <c r="K63" s="68">
        <f>SwapRate*SUMPRODUCT(G64:$G$112,J64:$J$112)/SUMPRODUCT(G64:$G$112,I64:$I$112)</f>
        <v>0.03795155721150849</v>
      </c>
      <c r="L63" s="59">
        <f t="shared" si="13"/>
        <v>0.41438862445262153</v>
      </c>
      <c r="M63" s="66">
        <f t="shared" si="14"/>
        <v>0.007418109550128893</v>
      </c>
      <c r="N63" s="59">
        <f>SUM(G64:$G$112)/G63*0.05</f>
        <v>2.247941156194091</v>
      </c>
      <c r="O63" s="68">
        <f t="shared" si="15"/>
        <v>0.007556717872997189</v>
      </c>
      <c r="P63" s="61">
        <f t="shared" si="7"/>
        <v>0.016987057112457855</v>
      </c>
      <c r="Q63" s="68">
        <f t="shared" si="16"/>
        <v>0.8018503108724828</v>
      </c>
      <c r="R63" s="56">
        <f t="shared" si="8"/>
        <v>0.003348013145587747</v>
      </c>
      <c r="T63" s="61"/>
    </row>
    <row r="64" spans="6:20" ht="12.75">
      <c r="F64" s="32">
        <v>2.7</v>
      </c>
      <c r="G64" s="66">
        <f t="shared" si="17"/>
        <v>0.9166770956331532</v>
      </c>
      <c r="H64" s="60">
        <f t="shared" si="9"/>
        <v>0.034999999999999844</v>
      </c>
      <c r="I64" s="66">
        <f t="shared" si="11"/>
        <v>0</v>
      </c>
      <c r="J64" s="59">
        <f t="shared" si="12"/>
        <v>0</v>
      </c>
      <c r="K64" s="68">
        <f>SwapRate*SUMPRODUCT(G65:$G$112,J65:$J$112)/SUMPRODUCT(G65:$G$112,I65:$I$112)</f>
        <v>0.03795155721150849</v>
      </c>
      <c r="L64" s="59">
        <f t="shared" si="13"/>
        <v>0.4143373916373434</v>
      </c>
      <c r="M64" s="66">
        <f t="shared" si="14"/>
        <v>0.0035454735084687883</v>
      </c>
      <c r="N64" s="59">
        <f>SUM(G65:$G$112)/G64*0.05</f>
        <v>2.2018784973861316</v>
      </c>
      <c r="O64" s="68">
        <f t="shared" si="15"/>
        <v>0.007609816050727039</v>
      </c>
      <c r="P64" s="61">
        <f t="shared" si="7"/>
        <v>0.01675589033115972</v>
      </c>
      <c r="Q64" s="68">
        <f t="shared" si="16"/>
        <v>0.7985162187593771</v>
      </c>
      <c r="R64" s="56">
        <f t="shared" si="8"/>
        <v>0.0033340921131057577</v>
      </c>
      <c r="T64" s="61"/>
    </row>
    <row r="65" spans="6:20" ht="12.75">
      <c r="F65" s="32">
        <v>2.75</v>
      </c>
      <c r="G65" s="66">
        <f t="shared" si="17"/>
        <v>0.9150743135591534</v>
      </c>
      <c r="H65" s="60">
        <f t="shared" si="9"/>
        <v>0.034999999999999046</v>
      </c>
      <c r="I65" s="66">
        <f t="shared" si="11"/>
        <v>0</v>
      </c>
      <c r="J65" s="59">
        <f t="shared" si="12"/>
        <v>0</v>
      </c>
      <c r="K65" s="68">
        <f>SwapRate*SUMPRODUCT(G66:$G$112,J66:$J$112)/SUMPRODUCT(G66:$G$112,I66:$I$112)</f>
        <v>0.03795155721150849</v>
      </c>
      <c r="L65" s="59">
        <f t="shared" si="13"/>
        <v>0.4143223010639387</v>
      </c>
      <c r="M65" s="66">
        <f t="shared" si="14"/>
        <v>-0.0002557977304862846</v>
      </c>
      <c r="N65" s="59">
        <f>SUM(G66:$G$112)/G65*0.05</f>
        <v>2.155735158350649</v>
      </c>
      <c r="O65" s="68">
        <f t="shared" si="15"/>
        <v>0.007662425532859847</v>
      </c>
      <c r="P65" s="61">
        <f t="shared" si="7"/>
        <v>0.01651816011942968</v>
      </c>
      <c r="Q65" s="68">
        <f t="shared" si="16"/>
        <v>0.7951959897951257</v>
      </c>
      <c r="R65" s="56">
        <f t="shared" si="8"/>
        <v>0.003320228964251326</v>
      </c>
      <c r="T65" s="61"/>
    </row>
    <row r="66" spans="6:20" ht="12.75">
      <c r="F66" s="32">
        <v>2.8</v>
      </c>
      <c r="G66" s="66">
        <f t="shared" si="17"/>
        <v>0.9134743339009539</v>
      </c>
      <c r="H66" s="60">
        <f t="shared" si="9"/>
        <v>0.03499999999999988</v>
      </c>
      <c r="I66" s="66">
        <f t="shared" si="11"/>
        <v>0</v>
      </c>
      <c r="J66" s="59">
        <f t="shared" si="12"/>
        <v>0</v>
      </c>
      <c r="K66" s="68">
        <f>SwapRate*SUMPRODUCT(G67:$G$112,J67:$J$112)/SUMPRODUCT(G67:$G$112,I67:$I$112)</f>
        <v>0.03795155721150849</v>
      </c>
      <c r="L66" s="59">
        <f t="shared" si="13"/>
        <v>0.4143414203287733</v>
      </c>
      <c r="M66" s="66">
        <f t="shared" si="14"/>
        <v>-0.003988592938264479</v>
      </c>
      <c r="N66" s="59">
        <f>SUM(G67:$G$112)/G66*0.05</f>
        <v>2.109510997773632</v>
      </c>
      <c r="O66" s="68">
        <f t="shared" si="15"/>
        <v>0.007714558835388883</v>
      </c>
      <c r="P66" s="61">
        <f t="shared" si="7"/>
        <v>0.01627394670622459</v>
      </c>
      <c r="Q66" s="68">
        <f t="shared" si="16"/>
        <v>0.7918895663367816</v>
      </c>
      <c r="R66" s="56">
        <f t="shared" si="8"/>
        <v>0.0033064234583440877</v>
      </c>
      <c r="T66" s="61"/>
    </row>
    <row r="67" spans="6:20" ht="12.75">
      <c r="F67" s="32">
        <v>2.85</v>
      </c>
      <c r="G67" s="66">
        <f t="shared" si="17"/>
        <v>0.911877151758616</v>
      </c>
      <c r="H67" s="60">
        <f t="shared" si="9"/>
        <v>0.034999999999999844</v>
      </c>
      <c r="I67" s="66">
        <f t="shared" si="11"/>
        <v>0</v>
      </c>
      <c r="J67" s="59">
        <f t="shared" si="12"/>
        <v>0</v>
      </c>
      <c r="K67" s="68">
        <f>SwapRate*SUMPRODUCT(G68:$G$112,J68:$J$112)/SUMPRODUCT(G68:$G$112,I68:$I$112)</f>
        <v>0.03795155721150849</v>
      </c>
      <c r="L67" s="59">
        <f t="shared" si="13"/>
        <v>0.41439294445212205</v>
      </c>
      <c r="M67" s="66">
        <f t="shared" si="14"/>
        <v>-0.007655630951231285</v>
      </c>
      <c r="N67" s="59">
        <f>SUM(G68:$G$112)/G67*0.05</f>
        <v>2.063205874093552</v>
      </c>
      <c r="O67" s="68">
        <f t="shared" si="15"/>
        <v>0.007766227944380848</v>
      </c>
      <c r="P67" s="61">
        <f t="shared" si="7"/>
        <v>0.01602332711439606</v>
      </c>
      <c r="Q67" s="68">
        <f t="shared" si="16"/>
        <v>0.7885968909810767</v>
      </c>
      <c r="R67" s="56">
        <f t="shared" si="8"/>
        <v>0.003292675355704988</v>
      </c>
      <c r="T67" s="61"/>
    </row>
    <row r="68" spans="6:20" ht="12.75">
      <c r="F68" s="32">
        <v>2.9</v>
      </c>
      <c r="G68" s="66">
        <f t="shared" si="17"/>
        <v>0.910282762240768</v>
      </c>
      <c r="H68" s="60">
        <f t="shared" si="9"/>
        <v>0.03499999999999932</v>
      </c>
      <c r="I68" s="66">
        <f t="shared" si="11"/>
        <v>0</v>
      </c>
      <c r="J68" s="59">
        <f t="shared" si="12"/>
        <v>0</v>
      </c>
      <c r="K68" s="68">
        <f>SwapRate*SUMPRODUCT(G69:$G$112,J69:$J$112)/SUMPRODUCT(G69:$G$112,I69:$I$112)</f>
        <v>0.03795155721150849</v>
      </c>
      <c r="L68" s="59">
        <f t="shared" si="13"/>
        <v>0.4144751855916208</v>
      </c>
      <c r="M68" s="66">
        <f t="shared" si="14"/>
        <v>-0.011259473556539223</v>
      </c>
      <c r="N68" s="59">
        <f>SUM(G69:$G$112)/G68*0.05</f>
        <v>2.016819645500933</v>
      </c>
      <c r="O68" s="68">
        <f t="shared" si="15"/>
        <v>0.007817444346875965</v>
      </c>
      <c r="P68" s="61">
        <f t="shared" si="7"/>
        <v>0.01576637533638966</v>
      </c>
      <c r="Q68" s="68">
        <f t="shared" si="16"/>
        <v>0.7853179065634253</v>
      </c>
      <c r="R68" s="56">
        <f t="shared" si="8"/>
        <v>0.0032789844176513983</v>
      </c>
      <c r="T68" s="61"/>
    </row>
    <row r="69" spans="6:20" ht="12.75">
      <c r="F69" s="32">
        <v>2.95</v>
      </c>
      <c r="G69" s="66">
        <f t="shared" si="17"/>
        <v>0.9086911604645909</v>
      </c>
      <c r="H69" s="60">
        <f t="shared" si="9"/>
        <v>0.034999999999998734</v>
      </c>
      <c r="I69" s="66">
        <f t="shared" si="11"/>
        <v>0</v>
      </c>
      <c r="J69" s="59">
        <f t="shared" si="12"/>
        <v>0</v>
      </c>
      <c r="K69" s="68">
        <f>SwapRate*SUMPRODUCT(G70:$G$112,J70:$J$112)/SUMPRODUCT(G70:$G$112,I70:$I$112)</f>
        <v>0.03795155721150849</v>
      </c>
      <c r="L69" s="59">
        <f t="shared" si="13"/>
        <v>0.41458656374005287</v>
      </c>
      <c r="M69" s="66">
        <f t="shared" si="14"/>
        <v>-0.01480253719288882</v>
      </c>
      <c r="N69" s="59">
        <f>SUM(G70:$G$112)/G69*0.05</f>
        <v>1.970352169937912</v>
      </c>
      <c r="O69" s="68">
        <f t="shared" si="15"/>
        <v>0.007868219059511388</v>
      </c>
      <c r="P69" s="61">
        <f t="shared" si="7"/>
        <v>0.0155031624974551</v>
      </c>
      <c r="Q69" s="68">
        <f t="shared" si="16"/>
        <v>0.7820525561569325</v>
      </c>
      <c r="R69" s="56">
        <f t="shared" si="8"/>
        <v>0.003265350406492784</v>
      </c>
      <c r="T69" s="61"/>
    </row>
    <row r="70" spans="6:20" ht="12.75">
      <c r="F70" s="32">
        <v>3</v>
      </c>
      <c r="G70" s="66">
        <f t="shared" si="17"/>
        <v>0.9071023415558028</v>
      </c>
      <c r="H70" s="60">
        <f t="shared" si="9"/>
        <v>0.035000000000000156</v>
      </c>
      <c r="I70" s="66">
        <f t="shared" si="11"/>
        <v>0.017415</v>
      </c>
      <c r="J70" s="59">
        <f t="shared" si="12"/>
        <v>0.017500000000000078</v>
      </c>
      <c r="K70" s="68">
        <f>SwapRate*SUMPRODUCT(G71:$G$112,J71:$J$112)/SUMPRODUCT(G71:$G$112,I71:$I$112)</f>
        <v>0.03872539758661435</v>
      </c>
      <c r="L70" s="59">
        <f t="shared" si="13"/>
        <v>0.46134112907752156</v>
      </c>
      <c r="M70" s="66">
        <f t="shared" si="14"/>
        <v>0.028328427185302263</v>
      </c>
      <c r="N70" s="59">
        <f>SUM(G71:$G$112)/G70*0.05</f>
        <v>1.92380330509781</v>
      </c>
      <c r="O70" s="68">
        <f t="shared" si="15"/>
        <v>0.00843651955155333</v>
      </c>
      <c r="P70" s="61">
        <f t="shared" si="7"/>
        <v>0.01623020419680059</v>
      </c>
      <c r="Q70" s="68">
        <f t="shared" si="16"/>
        <v>0.7788007830714049</v>
      </c>
      <c r="R70" s="56">
        <f t="shared" si="8"/>
        <v>0.0032517730855275984</v>
      </c>
      <c r="T70" s="61"/>
    </row>
    <row r="71" spans="6:20" ht="12.75">
      <c r="F71" s="32">
        <v>3.05</v>
      </c>
      <c r="G71" s="66">
        <f aca="true" t="shared" si="18" ref="G71:G90">G70*EXP(-(F71-F70)*IRate4)</f>
        <v>0.9054031181851151</v>
      </c>
      <c r="H71" s="60">
        <f t="shared" si="9"/>
        <v>0.03749999999999878</v>
      </c>
      <c r="I71" s="66">
        <f t="shared" si="11"/>
        <v>0</v>
      </c>
      <c r="J71" s="59">
        <f t="shared" si="12"/>
        <v>0</v>
      </c>
      <c r="K71" s="68">
        <f>SwapRate*SUMPRODUCT(G72:$G$112,J72:$J$112)/SUMPRODUCT(G72:$G$112,I72:$I$112)</f>
        <v>0.03872539758661435</v>
      </c>
      <c r="L71" s="59">
        <f t="shared" si="13"/>
        <v>0.46112275776589723</v>
      </c>
      <c r="M71" s="66">
        <f t="shared" si="14"/>
        <v>0.02451652785157271</v>
      </c>
      <c r="N71" s="59">
        <f>SUM(G72:$G$112)/G71*0.05</f>
        <v>1.87741382009491</v>
      </c>
      <c r="O71" s="68">
        <f t="shared" si="15"/>
        <v>0.008486434743374193</v>
      </c>
      <c r="P71" s="61">
        <f t="shared" si="7"/>
        <v>0.01593254987054431</v>
      </c>
      <c r="Q71" s="68">
        <f t="shared" si="16"/>
        <v>0.775562530852367</v>
      </c>
      <c r="R71" s="56">
        <f t="shared" si="8"/>
        <v>0.0032382522190378404</v>
      </c>
      <c r="T71" s="61"/>
    </row>
    <row r="72" spans="6:20" ht="12.75">
      <c r="F72" s="32">
        <v>3.1</v>
      </c>
      <c r="G72" s="66">
        <f t="shared" si="18"/>
        <v>0.9037070778731973</v>
      </c>
      <c r="H72" s="60">
        <f t="shared" si="9"/>
        <v>0.037499999999998444</v>
      </c>
      <c r="I72" s="66">
        <f t="shared" si="11"/>
        <v>0</v>
      </c>
      <c r="J72" s="59">
        <f t="shared" si="12"/>
        <v>0</v>
      </c>
      <c r="K72" s="68">
        <f>SwapRate*SUMPRODUCT(G73:$G$112,J73:$J$112)/SUMPRODUCT(G73:$G$112,I73:$I$112)</f>
        <v>0.03872539758661435</v>
      </c>
      <c r="L72" s="59">
        <f t="shared" si="13"/>
        <v>0.46093867026625546</v>
      </c>
      <c r="M72" s="66">
        <f t="shared" si="14"/>
        <v>0.020768248724780225</v>
      </c>
      <c r="N72" s="59">
        <f>SUM(G73:$G$112)/G72*0.05</f>
        <v>1.830937273212624</v>
      </c>
      <c r="O72" s="68">
        <f t="shared" si="15"/>
        <v>0.008535947035430966</v>
      </c>
      <c r="P72" s="61">
        <f t="shared" si="7"/>
        <v>0.015628783589339352</v>
      </c>
      <c r="Q72" s="68">
        <f t="shared" si="16"/>
        <v>0.772337743280081</v>
      </c>
      <c r="R72" s="56">
        <f t="shared" si="8"/>
        <v>0.0032247875722860586</v>
      </c>
      <c r="T72" s="61"/>
    </row>
    <row r="73" spans="6:20" ht="12.75">
      <c r="F73" s="32">
        <v>3.15</v>
      </c>
      <c r="G73" s="66">
        <f t="shared" si="18"/>
        <v>0.9020142146574058</v>
      </c>
      <c r="H73" s="60">
        <f t="shared" si="9"/>
        <v>0.03749999999999989</v>
      </c>
      <c r="I73" s="66">
        <f t="shared" si="11"/>
        <v>0</v>
      </c>
      <c r="J73" s="59">
        <f t="shared" si="12"/>
        <v>0</v>
      </c>
      <c r="K73" s="68">
        <f>SwapRate*SUMPRODUCT(G74:$G$112,J74:$J$112)/SUMPRODUCT(G74:$G$112,I74:$I$112)</f>
        <v>0.03872539758661435</v>
      </c>
      <c r="L73" s="59">
        <f t="shared" si="13"/>
        <v>0.4607872697050183</v>
      </c>
      <c r="M73" s="66">
        <f t="shared" si="14"/>
        <v>0.0170812859725471</v>
      </c>
      <c r="N73" s="59">
        <f>SUM(G74:$G$112)/G73*0.05</f>
        <v>1.7843735010567945</v>
      </c>
      <c r="O73" s="68">
        <f t="shared" si="15"/>
        <v>0.008585065414423911</v>
      </c>
      <c r="P73" s="61">
        <f t="shared" si="7"/>
        <v>0.015318963230337195</v>
      </c>
      <c r="Q73" s="68">
        <f t="shared" si="16"/>
        <v>0.7691263643685705</v>
      </c>
      <c r="R73" s="56">
        <f t="shared" si="8"/>
        <v>0.003211378911510465</v>
      </c>
      <c r="T73" s="61"/>
    </row>
    <row r="74" spans="6:20" ht="12.75">
      <c r="F74" s="32">
        <v>3.2</v>
      </c>
      <c r="G74" s="66">
        <f t="shared" si="18"/>
        <v>0.9003245225862668</v>
      </c>
      <c r="H74" s="60">
        <f t="shared" si="9"/>
        <v>0.03749999999999983</v>
      </c>
      <c r="I74" s="66">
        <f t="shared" si="11"/>
        <v>0</v>
      </c>
      <c r="J74" s="59">
        <f t="shared" si="12"/>
        <v>0</v>
      </c>
      <c r="K74" s="68">
        <f>SwapRate*SUMPRODUCT(G75:$G$112,J75:$J$112)/SUMPRODUCT(G75:$G$112,I75:$I$112)</f>
        <v>0.03872539758661435</v>
      </c>
      <c r="L74" s="59">
        <f t="shared" si="13"/>
        <v>0.4606670523188155</v>
      </c>
      <c r="M74" s="66">
        <f t="shared" si="14"/>
        <v>0.013453456818857568</v>
      </c>
      <c r="N74" s="59">
        <f>SUM(G75:$G$112)/G74*0.05</f>
        <v>1.7377223399266115</v>
      </c>
      <c r="O74" s="68">
        <f t="shared" si="15"/>
        <v>0.008633798534952788</v>
      </c>
      <c r="P74" s="61">
        <f t="shared" si="7"/>
        <v>0.01500314459261311</v>
      </c>
      <c r="Q74" s="68">
        <f t="shared" si="16"/>
        <v>0.7659283383646487</v>
      </c>
      <c r="R74" s="56">
        <f t="shared" si="8"/>
        <v>0.003198026003921828</v>
      </c>
      <c r="T74" s="61"/>
    </row>
    <row r="75" spans="6:20" ht="12.75">
      <c r="F75" s="32">
        <v>3.25</v>
      </c>
      <c r="G75" s="66">
        <f t="shared" si="18"/>
        <v>0.8986379957194549</v>
      </c>
      <c r="H75" s="60">
        <f t="shared" si="9"/>
        <v>0.037499999999999055</v>
      </c>
      <c r="I75" s="66">
        <f aca="true" t="shared" si="19" ref="I75:I110">IF(ABS(MOD(F75,PayFrac))&lt;0.000001,SwapRate*PayFrac,0)</f>
        <v>0</v>
      </c>
      <c r="J75" s="59">
        <f aca="true" t="shared" si="20" ref="J75:J110">IF(ABS(MOD(F75,RecFrac))&lt;0.000001,H75*RecFrac,0)</f>
        <v>0</v>
      </c>
      <c r="K75" s="68">
        <f>SwapRate*SUMPRODUCT(G76:$G$112,J76:$J$112)/SUMPRODUCT(G76:$G$112,I76:$I$112)</f>
        <v>0.03872539758661435</v>
      </c>
      <c r="L75" s="59">
        <f aca="true" t="shared" si="21" ref="L75:L106">(LN(K75/SwapRate)+0.5*SwapRateVol^2*F75)/(SwapRateVol*SQRT(F75))</f>
        <v>0.460576600773266</v>
      </c>
      <c r="M75" s="66">
        <f aca="true" t="shared" si="22" ref="M75:M106">L75-SwapRateVol*SQRT(F75)</f>
        <v>0.009882691340267369</v>
      </c>
      <c r="N75" s="59">
        <f>SUM(G76:$G$112)/G75*0.05</f>
        <v>1.690983625814038</v>
      </c>
      <c r="O75" s="68">
        <f aca="true" t="shared" si="23" ref="O75:O109">IF(PayRec="PAY",K75*NORMSDIST(L75)-SwapRate*NORMSDIST(M75),SwapRate*NORMSDIST(-M75)-K75*NORMSDIST(-L75))</f>
        <v>0.008682154736434411</v>
      </c>
      <c r="P75" s="61">
        <f t="shared" si="7"/>
        <v>0.014681381496094385</v>
      </c>
      <c r="Q75" s="68">
        <f aca="true" t="shared" si="24" ref="Q75:Q109">EXP(-F75*CDSPrem/10000/(1-Recovery))</f>
        <v>0.7627436097469504</v>
      </c>
      <c r="R75" s="56">
        <f t="shared" si="8"/>
        <v>0.0031847286176982514</v>
      </c>
      <c r="T75" s="61"/>
    </row>
    <row r="76" spans="6:20" ht="12.75">
      <c r="F76" s="32">
        <v>3.3</v>
      </c>
      <c r="G76" s="66">
        <f t="shared" si="18"/>
        <v>0.8969546281277723</v>
      </c>
      <c r="H76" s="60">
        <f t="shared" si="9"/>
        <v>0.0374999999999985</v>
      </c>
      <c r="I76" s="66">
        <f t="shared" si="19"/>
        <v>0</v>
      </c>
      <c r="J76" s="59">
        <f t="shared" si="20"/>
        <v>0</v>
      </c>
      <c r="K76" s="68">
        <f>SwapRate*SUMPRODUCT(G77:$G$112,J77:$J$112)/SUMPRODUCT(G77:$G$112,I77:$I$112)</f>
        <v>0.03872539758661435</v>
      </c>
      <c r="L76" s="59">
        <f t="shared" si="21"/>
        <v>0.46051457805185797</v>
      </c>
      <c r="M76" s="66">
        <f t="shared" si="22"/>
        <v>0.006367024937234234</v>
      </c>
      <c r="N76" s="59">
        <f>SUM(G77:$G$112)/G76*0.05</f>
        <v>1.6441571944032356</v>
      </c>
      <c r="O76" s="68">
        <f t="shared" si="23"/>
        <v>0.008730142058930773</v>
      </c>
      <c r="P76" s="61">
        <f aca="true" t="shared" si="25" ref="P76:P109">O76*N76</f>
        <v>0.014353725874353306</v>
      </c>
      <c r="Q76" s="68">
        <f t="shared" si="24"/>
        <v>0.7595721232249685</v>
      </c>
      <c r="R76" s="56">
        <f t="shared" si="8"/>
        <v>0.003171486521981959</v>
      </c>
      <c r="T76" s="61"/>
    </row>
    <row r="77" spans="6:20" ht="12.75">
      <c r="F77" s="32">
        <v>3.35</v>
      </c>
      <c r="G77" s="66">
        <f t="shared" si="18"/>
        <v>0.8952744138931279</v>
      </c>
      <c r="H77" s="60">
        <f t="shared" si="9"/>
        <v>0.03750000000000011</v>
      </c>
      <c r="I77" s="66">
        <f t="shared" si="19"/>
        <v>0</v>
      </c>
      <c r="J77" s="59">
        <f t="shared" si="20"/>
        <v>0</v>
      </c>
      <c r="K77" s="68">
        <f>SwapRate*SUMPRODUCT(G78:$G$112,J78:$J$112)/SUMPRODUCT(G78:$G$112,I78:$I$112)</f>
        <v>0.03872539758661435</v>
      </c>
      <c r="L77" s="59">
        <f t="shared" si="21"/>
        <v>0.4604797218586513</v>
      </c>
      <c r="M77" s="66">
        <f t="shared" si="22"/>
        <v>0.0029045914155731434</v>
      </c>
      <c r="N77" s="59">
        <f>SUM(G78:$G$112)/G77*0.05</f>
        <v>1.597242881069982</v>
      </c>
      <c r="O77" s="68">
        <f t="shared" si="23"/>
        <v>0.008777768257971979</v>
      </c>
      <c r="P77" s="61">
        <f t="shared" si="25"/>
        <v>0.0140202278617278</v>
      </c>
      <c r="Q77" s="68">
        <f t="shared" si="24"/>
        <v>0.7564138237380932</v>
      </c>
      <c r="R77" s="56">
        <f aca="true" t="shared" si="26" ref="R77:R109">Q76-Q77</f>
        <v>0.0031582994868752934</v>
      </c>
      <c r="T77" s="61"/>
    </row>
    <row r="78" spans="6:20" ht="12.75">
      <c r="F78" s="32">
        <v>3.4</v>
      </c>
      <c r="G78" s="66">
        <f t="shared" si="18"/>
        <v>0.893597347108517</v>
      </c>
      <c r="H78" s="60">
        <f t="shared" si="9"/>
        <v>0.03749999999999961</v>
      </c>
      <c r="I78" s="66">
        <f t="shared" si="19"/>
        <v>0</v>
      </c>
      <c r="J78" s="59">
        <f t="shared" si="20"/>
        <v>0</v>
      </c>
      <c r="K78" s="68">
        <f>SwapRate*SUMPRODUCT(G79:$G$112,J79:$J$112)/SUMPRODUCT(G79:$G$112,I79:$I$112)</f>
        <v>0.03872539758661435</v>
      </c>
      <c r="L78" s="59">
        <f t="shared" si="21"/>
        <v>0.46047083948482204</v>
      </c>
      <c r="M78" s="66">
        <f t="shared" si="22"/>
        <v>-0.0005063833798223394</v>
      </c>
      <c r="N78" s="59">
        <f>SUM(G79:$G$112)/G78*0.05</f>
        <v>1.550240520881096</v>
      </c>
      <c r="O78" s="68">
        <f t="shared" si="23"/>
        <v>0.00882504081845073</v>
      </c>
      <c r="P78" s="61">
        <f t="shared" si="25"/>
        <v>0.013680935875191995</v>
      </c>
      <c r="Q78" s="68">
        <f t="shared" si="24"/>
        <v>0.7532686564546568</v>
      </c>
      <c r="R78" s="56">
        <f t="shared" si="26"/>
        <v>0.0031451672834363897</v>
      </c>
      <c r="T78" s="61"/>
    </row>
    <row r="79" spans="6:20" ht="12.75">
      <c r="F79" s="32">
        <v>3.45</v>
      </c>
      <c r="G79" s="66">
        <f t="shared" si="18"/>
        <v>0.8919234218779999</v>
      </c>
      <c r="H79" s="60">
        <f aca="true" t="shared" si="27" ref="H79:H110">-(LN(G79)-LN(G78))/(F79-F78)</f>
        <v>0.03750000000000011</v>
      </c>
      <c r="I79" s="66">
        <f t="shared" si="19"/>
        <v>0</v>
      </c>
      <c r="J79" s="59">
        <f t="shared" si="20"/>
        <v>0</v>
      </c>
      <c r="K79" s="68">
        <f>SwapRate*SUMPRODUCT(G80:$G$112,J80:$J$112)/SUMPRODUCT(G80:$G$112,I80:$I$112)</f>
        <v>0.03872539758661435</v>
      </c>
      <c r="L79" s="59">
        <f t="shared" si="21"/>
        <v>0.4604868030945759</v>
      </c>
      <c r="M79" s="66">
        <f t="shared" si="22"/>
        <v>-0.0038675874305918456</v>
      </c>
      <c r="N79" s="59">
        <f>SUM(G80:$G$112)/G79*0.05</f>
        <v>1.5031499485938575</v>
      </c>
      <c r="O79" s="68">
        <f t="shared" si="23"/>
        <v>0.0088719669676583</v>
      </c>
      <c r="P79" s="61">
        <f t="shared" si="25"/>
        <v>0.013335896691361974</v>
      </c>
      <c r="Q79" s="68">
        <f t="shared" si="24"/>
        <v>0.7501365667709818</v>
      </c>
      <c r="R79" s="56">
        <f t="shared" si="26"/>
        <v>0.0031320896836749545</v>
      </c>
      <c r="T79" s="61"/>
    </row>
    <row r="80" spans="6:20" ht="12.75">
      <c r="F80" s="32">
        <v>3.5</v>
      </c>
      <c r="G80" s="66">
        <f t="shared" si="18"/>
        <v>0.8902526323166815</v>
      </c>
      <c r="H80" s="60">
        <f t="shared" si="27"/>
        <v>0.03749999999999961</v>
      </c>
      <c r="I80" s="66">
        <f t="shared" si="19"/>
        <v>0.017415</v>
      </c>
      <c r="J80" s="59">
        <f t="shared" si="20"/>
        <v>0.018749999999999805</v>
      </c>
      <c r="K80" s="68">
        <f>SwapRate*SUMPRODUCT(G81:$G$112,J81:$J$112)/SUMPRODUCT(G81:$G$112,I81:$I$112)</f>
        <v>0.03914994556101456</v>
      </c>
      <c r="L80" s="59">
        <f t="shared" si="21"/>
        <v>0.4838389497330048</v>
      </c>
      <c r="M80" s="66">
        <f t="shared" si="22"/>
        <v>0.01613177638626212</v>
      </c>
      <c r="N80" s="59">
        <f>SUM(G81:$G$112)/G80*0.05</f>
        <v>1.4559709986554246</v>
      </c>
      <c r="O80" s="68">
        <f t="shared" si="23"/>
        <v>0.009207927950234774</v>
      </c>
      <c r="P80" s="61">
        <f t="shared" si="25"/>
        <v>0.01340647605325052</v>
      </c>
      <c r="Q80" s="68">
        <f t="shared" si="24"/>
        <v>0.7470175003104326</v>
      </c>
      <c r="R80" s="56">
        <f t="shared" si="26"/>
        <v>0.003119066460549269</v>
      </c>
      <c r="T80" s="61"/>
    </row>
    <row r="81" spans="6:20" ht="12.75">
      <c r="F81" s="32">
        <v>3.55</v>
      </c>
      <c r="G81" s="66">
        <f t="shared" si="18"/>
        <v>0.8885849725506906</v>
      </c>
      <c r="H81" s="60">
        <f t="shared" si="27"/>
        <v>0.0374999999999985</v>
      </c>
      <c r="I81" s="66">
        <f t="shared" si="19"/>
        <v>0</v>
      </c>
      <c r="J81" s="59">
        <f t="shared" si="20"/>
        <v>0</v>
      </c>
      <c r="K81" s="68">
        <f>SwapRate*SUMPRODUCT(G82:$G$112,J82:$J$112)/SUMPRODUCT(G82:$G$112,I82:$I$112)</f>
        <v>0.03914994556101456</v>
      </c>
      <c r="L81" s="59">
        <f t="shared" si="21"/>
        <v>0.4837367059285699</v>
      </c>
      <c r="M81" s="66">
        <f t="shared" si="22"/>
        <v>0.01270061389315058</v>
      </c>
      <c r="N81" s="59">
        <f>SUM(G82:$G$112)/G81*0.05</f>
        <v>1.4087035052022518</v>
      </c>
      <c r="O81" s="68">
        <f t="shared" si="23"/>
        <v>0.009254178979155626</v>
      </c>
      <c r="P81" s="61">
        <f t="shared" si="25"/>
        <v>0.013036394365705528</v>
      </c>
      <c r="Q81" s="68">
        <f t="shared" si="24"/>
        <v>0.7439114029224712</v>
      </c>
      <c r="R81" s="56">
        <f t="shared" si="26"/>
        <v>0.003106097387961415</v>
      </c>
      <c r="T81" s="61"/>
    </row>
    <row r="82" spans="6:20" ht="12.75">
      <c r="F82" s="32">
        <v>3.6</v>
      </c>
      <c r="G82" s="66">
        <f t="shared" si="18"/>
        <v>0.8869204367171589</v>
      </c>
      <c r="H82" s="60">
        <f t="shared" si="27"/>
        <v>0.03749999999999983</v>
      </c>
      <c r="I82" s="66">
        <f t="shared" si="19"/>
        <v>0</v>
      </c>
      <c r="J82" s="59">
        <f t="shared" si="20"/>
        <v>0</v>
      </c>
      <c r="K82" s="68">
        <f>SwapRate*SUMPRODUCT(G83:$G$112,J83:$J$112)/SUMPRODUCT(G83:$G$112,I83:$I$112)</f>
        <v>0.03914994556101456</v>
      </c>
      <c r="L82" s="59">
        <f t="shared" si="21"/>
        <v>0.48365971659061435</v>
      </c>
      <c r="M82" s="66">
        <f t="shared" si="22"/>
        <v>0.009318067565357468</v>
      </c>
      <c r="N82" s="59">
        <f>SUM(G83:$G$112)/G82*0.05</f>
        <v>1.36134730205951</v>
      </c>
      <c r="O82" s="68">
        <f t="shared" si="23"/>
        <v>0.009300107416832782</v>
      </c>
      <c r="P82" s="61">
        <f t="shared" si="25"/>
        <v>0.012660676140768946</v>
      </c>
      <c r="Q82" s="68">
        <f t="shared" si="24"/>
        <v>0.7408182206817179</v>
      </c>
      <c r="R82" s="56">
        <f t="shared" si="26"/>
        <v>0.0030931822407532783</v>
      </c>
      <c r="T82" s="61"/>
    </row>
    <row r="83" spans="6:20" ht="12.75">
      <c r="F83" s="32">
        <v>3.649999999999995</v>
      </c>
      <c r="G83" s="66">
        <f t="shared" si="18"/>
        <v>0.8852590189642012</v>
      </c>
      <c r="H83" s="60">
        <f t="shared" si="27"/>
        <v>0.03750000000000105</v>
      </c>
      <c r="I83" s="66">
        <f t="shared" si="19"/>
        <v>0</v>
      </c>
      <c r="J83" s="59">
        <f t="shared" si="20"/>
        <v>0</v>
      </c>
      <c r="K83" s="68">
        <f>SwapRate*SUMPRODUCT(G84:$G$112,J84:$J$112)/SUMPRODUCT(G84:$G$112,I84:$I$112)</f>
        <v>0.03914994556101456</v>
      </c>
      <c r="L83" s="59">
        <f t="shared" si="21"/>
        <v>0.48360695495236256</v>
      </c>
      <c r="M83" s="66">
        <f t="shared" si="22"/>
        <v>0.005982625588792867</v>
      </c>
      <c r="N83" s="59">
        <f>SUM(G84:$G$112)/G83*0.05</f>
        <v>1.313902222740498</v>
      </c>
      <c r="O83" s="68">
        <f t="shared" si="23"/>
        <v>0.009345719428867805</v>
      </c>
      <c r="P83" s="61">
        <f t="shared" si="25"/>
        <v>0.012279361530698465</v>
      </c>
      <c r="Q83" s="68">
        <f t="shared" si="24"/>
        <v>0.7377378998870147</v>
      </c>
      <c r="R83" s="56">
        <f t="shared" si="26"/>
        <v>0.0030803207947032174</v>
      </c>
      <c r="T83" s="61"/>
    </row>
    <row r="84" spans="6:20" ht="12.75">
      <c r="F84" s="32">
        <v>3.7</v>
      </c>
      <c r="G84" s="66">
        <f t="shared" si="18"/>
        <v>0.8836007134508935</v>
      </c>
      <c r="H84" s="60">
        <f t="shared" si="27"/>
        <v>0.03750000000000089</v>
      </c>
      <c r="I84" s="66">
        <f t="shared" si="19"/>
        <v>0</v>
      </c>
      <c r="J84" s="59">
        <f t="shared" si="20"/>
        <v>0</v>
      </c>
      <c r="K84" s="68">
        <f>SwapRate*SUMPRODUCT(G85:$G$112,J85:$J$112)/SUMPRODUCT(G85:$G$112,I85:$I$112)</f>
        <v>0.03914994556101456</v>
      </c>
      <c r="L84" s="59">
        <f t="shared" si="21"/>
        <v>0.4835774462087341</v>
      </c>
      <c r="M84" s="66">
        <f t="shared" si="22"/>
        <v>0.002692844666950467</v>
      </c>
      <c r="N84" s="59">
        <f>SUM(G85:$G$112)/G84*0.05</f>
        <v>1.2663681004460605</v>
      </c>
      <c r="O84" s="68">
        <f t="shared" si="23"/>
        <v>0.009391020984953213</v>
      </c>
      <c r="P84" s="61">
        <f t="shared" si="25"/>
        <v>0.011892489405964293</v>
      </c>
      <c r="Q84" s="68">
        <f t="shared" si="24"/>
        <v>0.7346703870604917</v>
      </c>
      <c r="R84" s="56">
        <f t="shared" si="26"/>
        <v>0.0030675128265229556</v>
      </c>
      <c r="T84" s="61"/>
    </row>
    <row r="85" spans="6:20" ht="12.75">
      <c r="F85" s="32">
        <v>3.75</v>
      </c>
      <c r="G85" s="66">
        <f t="shared" si="18"/>
        <v>0.8819455143472543</v>
      </c>
      <c r="H85" s="60">
        <f t="shared" si="27"/>
        <v>0.03750000000000072</v>
      </c>
      <c r="I85" s="66">
        <f t="shared" si="19"/>
        <v>0</v>
      </c>
      <c r="J85" s="59">
        <f t="shared" si="20"/>
        <v>0</v>
      </c>
      <c r="K85" s="68">
        <f>SwapRate*SUMPRODUCT(G86:$G$112,J86:$J$112)/SUMPRODUCT(G86:$G$112,I86:$I$112)</f>
        <v>0.03914994556101456</v>
      </c>
      <c r="L85" s="59">
        <f t="shared" si="21"/>
        <v>0.48357026427996996</v>
      </c>
      <c r="M85" s="66">
        <f t="shared" si="22"/>
        <v>-0.0005526539959571641</v>
      </c>
      <c r="N85" s="59">
        <f>SUM(G86:$G$112)/G85*0.05</f>
        <v>1.2187447680639993</v>
      </c>
      <c r="O85" s="68">
        <f t="shared" si="23"/>
        <v>0.009436017867470961</v>
      </c>
      <c r="P85" s="61">
        <f t="shared" si="25"/>
        <v>0.01150009740733865</v>
      </c>
      <c r="Q85" s="68">
        <f t="shared" si="24"/>
        <v>0.7316156289466418</v>
      </c>
      <c r="R85" s="56">
        <f t="shared" si="26"/>
        <v>0.0030547581138499202</v>
      </c>
      <c r="T85" s="61"/>
    </row>
    <row r="86" spans="6:20" ht="12.75">
      <c r="F86" s="32">
        <v>3.8</v>
      </c>
      <c r="G86" s="66">
        <f t="shared" si="18"/>
        <v>0.8802934158342224</v>
      </c>
      <c r="H86" s="60">
        <f t="shared" si="27"/>
        <v>0.03750000000000044</v>
      </c>
      <c r="I86" s="66">
        <f t="shared" si="19"/>
        <v>0</v>
      </c>
      <c r="J86" s="59">
        <f t="shared" si="20"/>
        <v>0</v>
      </c>
      <c r="K86" s="68">
        <f>SwapRate*SUMPRODUCT(G87:$G$112,J87:$J$112)/SUMPRODUCT(G87:$G$112,I87:$I$112)</f>
        <v>0.03914994556101456</v>
      </c>
      <c r="L86" s="59">
        <f t="shared" si="21"/>
        <v>0.48358452881525227</v>
      </c>
      <c r="M86" s="66">
        <f t="shared" si="22"/>
        <v>-0.003755188425195899</v>
      </c>
      <c r="N86" s="59">
        <f>SUM(G87:$G$112)/G86*0.05</f>
        <v>1.1710320581684879</v>
      </c>
      <c r="O86" s="68">
        <f t="shared" si="23"/>
        <v>0.009480715679613207</v>
      </c>
      <c r="P86" s="61">
        <f t="shared" si="25"/>
        <v>0.011102221995207707</v>
      </c>
      <c r="Q86" s="68">
        <f t="shared" si="24"/>
        <v>0.7285735725113929</v>
      </c>
      <c r="R86" s="56">
        <f t="shared" si="26"/>
        <v>0.0030420564352489077</v>
      </c>
      <c r="T86" s="61"/>
    </row>
    <row r="87" spans="6:20" ht="12.75">
      <c r="F87" s="32">
        <v>3.85</v>
      </c>
      <c r="G87" s="66">
        <f t="shared" si="18"/>
        <v>0.8786444121036372</v>
      </c>
      <c r="H87" s="60">
        <f t="shared" si="27"/>
        <v>0.037499999999999</v>
      </c>
      <c r="I87" s="66">
        <f t="shared" si="19"/>
        <v>0</v>
      </c>
      <c r="J87" s="59">
        <f t="shared" si="20"/>
        <v>0</v>
      </c>
      <c r="K87" s="68">
        <f>SwapRate*SUMPRODUCT(G88:$G$112,J88:$J$112)/SUMPRODUCT(G88:$G$112,I88:$I$112)</f>
        <v>0.03914994556101456</v>
      </c>
      <c r="L87" s="59">
        <f t="shared" si="21"/>
        <v>0.48361940241569484</v>
      </c>
      <c r="M87" s="66">
        <f t="shared" si="22"/>
        <v>-0.006916019343019775</v>
      </c>
      <c r="N87" s="59">
        <f>SUM(G88:$G$112)/G87*0.05</f>
        <v>1.1232298030194812</v>
      </c>
      <c r="O87" s="68">
        <f t="shared" si="23"/>
        <v>0.009525119853056967</v>
      </c>
      <c r="P87" s="61">
        <f t="shared" si="25"/>
        <v>0.010698898496286127</v>
      </c>
      <c r="Q87" s="68">
        <f t="shared" si="24"/>
        <v>0.7255441649411889</v>
      </c>
      <c r="R87" s="56">
        <f t="shared" si="26"/>
        <v>0.003029407570203979</v>
      </c>
      <c r="T87" s="61"/>
    </row>
    <row r="88" spans="6:20" ht="12.75">
      <c r="F88" s="32">
        <v>3.9</v>
      </c>
      <c r="G88" s="66">
        <f t="shared" si="18"/>
        <v>0.8769984973582183</v>
      </c>
      <c r="H88" s="60">
        <f t="shared" si="27"/>
        <v>0.03749999999999878</v>
      </c>
      <c r="I88" s="66">
        <f t="shared" si="19"/>
        <v>0</v>
      </c>
      <c r="J88" s="59">
        <f t="shared" si="20"/>
        <v>0</v>
      </c>
      <c r="K88" s="68">
        <f>SwapRate*SUMPRODUCT(G89:$G$112,J89:$J$112)/SUMPRODUCT(G89:$G$112,I89:$I$112)</f>
        <v>0.03914994556101456</v>
      </c>
      <c r="L88" s="59">
        <f t="shared" si="21"/>
        <v>0.4836740880580992</v>
      </c>
      <c r="M88" s="66">
        <f t="shared" si="22"/>
        <v>-0.010036353395188269</v>
      </c>
      <c r="N88" s="59">
        <f>SUM(G89:$G$112)/G88*0.05</f>
        <v>1.0753378345621265</v>
      </c>
      <c r="O88" s="68">
        <f t="shared" si="23"/>
        <v>0.009569235655222469</v>
      </c>
      <c r="P88" s="61">
        <f t="shared" si="25"/>
        <v>0.010290161147901622</v>
      </c>
      <c r="Q88" s="68">
        <f t="shared" si="24"/>
        <v>0.7225273536420722</v>
      </c>
      <c r="R88" s="56">
        <f t="shared" si="26"/>
        <v>0.003016811299116684</v>
      </c>
      <c r="T88" s="61"/>
    </row>
    <row r="89" spans="6:20" ht="12.75">
      <c r="F89" s="32">
        <v>3.95</v>
      </c>
      <c r="G89" s="66">
        <f t="shared" si="18"/>
        <v>0.875355665811545</v>
      </c>
      <c r="H89" s="60">
        <f t="shared" si="27"/>
        <v>0.037499999999999</v>
      </c>
      <c r="I89" s="66">
        <f t="shared" si="19"/>
        <v>0</v>
      </c>
      <c r="J89" s="59">
        <f t="shared" si="20"/>
        <v>0</v>
      </c>
      <c r="K89" s="68">
        <f>SwapRate*SUMPRODUCT(G90:$G$112,J90:$J$112)/SUMPRODUCT(G90:$G$112,I90:$I$112)</f>
        <v>0.03914994556101456</v>
      </c>
      <c r="L89" s="59">
        <f t="shared" si="21"/>
        <v>0.48374782670265387</v>
      </c>
      <c r="M89" s="66">
        <f t="shared" si="22"/>
        <v>-0.013117346156140908</v>
      </c>
      <c r="N89" s="59">
        <f>SUM(G90:$G$112)/G89*0.05</f>
        <v>1.0273559844261733</v>
      </c>
      <c r="O89" s="68">
        <f t="shared" si="23"/>
        <v>0.009613068196142143</v>
      </c>
      <c r="P89" s="61">
        <f t="shared" si="25"/>
        <v>0.00987604314000355</v>
      </c>
      <c r="Q89" s="68">
        <f t="shared" si="24"/>
        <v>0.7195230862387708</v>
      </c>
      <c r="R89" s="56">
        <f t="shared" si="26"/>
        <v>0.003004267403301397</v>
      </c>
      <c r="T89" s="61"/>
    </row>
    <row r="90" spans="6:20" ht="12.75">
      <c r="F90" s="32">
        <v>4</v>
      </c>
      <c r="G90" s="66">
        <f t="shared" si="18"/>
        <v>0.8737159116880359</v>
      </c>
      <c r="H90" s="60">
        <f t="shared" si="27"/>
        <v>0.03749999999999933</v>
      </c>
      <c r="I90" s="66">
        <f t="shared" si="19"/>
        <v>0.017415</v>
      </c>
      <c r="J90" s="59">
        <f t="shared" si="20"/>
        <v>0.018749999999999666</v>
      </c>
      <c r="K90" s="68">
        <f>SwapRate*SUMPRODUCT(G91:$G$112,J91:$J$112)/SUMPRODUCT(G91:$G$112,I91:$I$112)</f>
        <v>0.040000000000000736</v>
      </c>
      <c r="L90" s="59">
        <f t="shared" si="21"/>
        <v>0.5268007394720897</v>
      </c>
      <c r="M90" s="66">
        <f t="shared" si="22"/>
        <v>0.02680073947208972</v>
      </c>
      <c r="N90" s="59">
        <f>SUM(G91:$G$112)/G90*0.05</f>
        <v>0.9792840839253799</v>
      </c>
      <c r="O90" s="68">
        <f t="shared" si="23"/>
        <v>0.010246004636530089</v>
      </c>
      <c r="P90" s="61">
        <f t="shared" si="25"/>
        <v>0.010033749264379563</v>
      </c>
      <c r="Q90" s="68">
        <f t="shared" si="24"/>
        <v>0.7165313105737893</v>
      </c>
      <c r="R90" s="56">
        <f t="shared" si="26"/>
        <v>0.002991775664981544</v>
      </c>
      <c r="T90" s="61"/>
    </row>
    <row r="91" spans="6:20" ht="12.75">
      <c r="F91" s="32">
        <v>4.05</v>
      </c>
      <c r="G91" s="66">
        <f aca="true" t="shared" si="28" ref="G91:G110">G90*EXP(-(F91-F90)*IRate5)</f>
        <v>0.8719702261321108</v>
      </c>
      <c r="H91" s="60">
        <f t="shared" si="27"/>
        <v>0.04000000000000073</v>
      </c>
      <c r="I91" s="66">
        <f t="shared" si="19"/>
        <v>0</v>
      </c>
      <c r="J91" s="59">
        <f t="shared" si="20"/>
        <v>0</v>
      </c>
      <c r="K91" s="68">
        <f>SwapRate*SUMPRODUCT(G92:$G$112,J92:$J$112)/SUMPRODUCT(G92:$G$112,I92:$I$112)</f>
        <v>0.040000000000000736</v>
      </c>
      <c r="L91" s="59">
        <f t="shared" si="21"/>
        <v>0.5266444339939717</v>
      </c>
      <c r="M91" s="66">
        <f t="shared" si="22"/>
        <v>0.02352913905651899</v>
      </c>
      <c r="N91" s="59">
        <f>SUM(G92:$G$112)/G91*0.05</f>
        <v>0.9312446119677636</v>
      </c>
      <c r="O91" s="68">
        <f t="shared" si="23"/>
        <v>0.010289278435350175</v>
      </c>
      <c r="P91" s="61">
        <f t="shared" si="25"/>
        <v>0.009581835103955952</v>
      </c>
      <c r="Q91" s="68">
        <f t="shared" si="24"/>
        <v>0.7135519747065024</v>
      </c>
      <c r="R91" s="56">
        <f t="shared" si="26"/>
        <v>0.0029793358672868253</v>
      </c>
      <c r="T91" s="61"/>
    </row>
    <row r="92" spans="6:20" ht="12.75">
      <c r="F92" s="32">
        <v>4.1</v>
      </c>
      <c r="G92" s="66">
        <f t="shared" si="28"/>
        <v>0.870228028458253</v>
      </c>
      <c r="H92" s="60">
        <f t="shared" si="27"/>
        <v>0.040000000000000174</v>
      </c>
      <c r="I92" s="66">
        <f t="shared" si="19"/>
        <v>0</v>
      </c>
      <c r="J92" s="59">
        <f t="shared" si="20"/>
        <v>0</v>
      </c>
      <c r="K92" s="68">
        <f>SwapRate*SUMPRODUCT(G93:$G$112,J93:$J$112)/SUMPRODUCT(G93:$G$112,I93:$I$112)</f>
        <v>0.040000000000000736</v>
      </c>
      <c r="L92" s="59">
        <f t="shared" si="21"/>
        <v>0.5265099918925328</v>
      </c>
      <c r="M92" s="66">
        <f t="shared" si="22"/>
        <v>0.020298573609618176</v>
      </c>
      <c r="N92" s="59">
        <f>SUM(G93:$G$112)/G92*0.05</f>
        <v>0.8831089649232038</v>
      </c>
      <c r="O92" s="68">
        <f t="shared" si="23"/>
        <v>0.010332289217884663</v>
      </c>
      <c r="P92" s="61">
        <f t="shared" si="25"/>
        <v>0.009124537236493304</v>
      </c>
      <c r="Q92" s="68">
        <f t="shared" si="24"/>
        <v>0.7105850269122547</v>
      </c>
      <c r="R92" s="56">
        <f t="shared" si="26"/>
        <v>0.002966947794247776</v>
      </c>
      <c r="T92" s="61"/>
    </row>
    <row r="93" spans="6:20" ht="12.75">
      <c r="F93" s="32">
        <v>4.15</v>
      </c>
      <c r="G93" s="66">
        <f t="shared" si="28"/>
        <v>0.8684893116976693</v>
      </c>
      <c r="H93" s="60">
        <f t="shared" si="27"/>
        <v>0.03999999999999891</v>
      </c>
      <c r="I93" s="66">
        <f t="shared" si="19"/>
        <v>0</v>
      </c>
      <c r="J93" s="59">
        <f t="shared" si="20"/>
        <v>0</v>
      </c>
      <c r="K93" s="68">
        <f>SwapRate*SUMPRODUCT(G94:$G$112,J94:$J$112)/SUMPRODUCT(G94:$G$112,I94:$I$112)</f>
        <v>0.040000000000000736</v>
      </c>
      <c r="L93" s="59">
        <f t="shared" si="21"/>
        <v>0.5263966378462613</v>
      </c>
      <c r="M93" s="66">
        <f t="shared" si="22"/>
        <v>0.01710791815967727</v>
      </c>
      <c r="N93" s="59">
        <f>SUM(G94:$G$112)/G93*0.05</f>
        <v>0.8348769502490475</v>
      </c>
      <c r="O93" s="68">
        <f t="shared" si="23"/>
        <v>0.010375041317070378</v>
      </c>
      <c r="P93" s="61">
        <f t="shared" si="25"/>
        <v>0.00866188285350358</v>
      </c>
      <c r="Q93" s="68">
        <f t="shared" si="24"/>
        <v>0.707630415681461</v>
      </c>
      <c r="R93" s="56">
        <f t="shared" si="26"/>
        <v>0.002954611230793658</v>
      </c>
      <c r="T93" s="61"/>
    </row>
    <row r="94" spans="6:20" ht="12.75">
      <c r="F94" s="32">
        <v>4.2</v>
      </c>
      <c r="G94" s="66">
        <f t="shared" si="28"/>
        <v>0.8667540688954903</v>
      </c>
      <c r="H94" s="60">
        <f t="shared" si="27"/>
        <v>0.04000000000000073</v>
      </c>
      <c r="I94" s="66">
        <f t="shared" si="19"/>
        <v>0</v>
      </c>
      <c r="J94" s="59">
        <f t="shared" si="20"/>
        <v>0</v>
      </c>
      <c r="K94" s="68">
        <f>SwapRate*SUMPRODUCT(G95:$G$112,J95:$J$112)/SUMPRODUCT(G95:$G$112,I95:$I$112)</f>
        <v>0.040000000000000736</v>
      </c>
      <c r="L94" s="59">
        <f t="shared" si="21"/>
        <v>0.5263036309920103</v>
      </c>
      <c r="M94" s="66">
        <f t="shared" si="22"/>
        <v>0.013956092694030309</v>
      </c>
      <c r="N94" s="59">
        <f>SUM(G95:$G$112)/G94*0.05</f>
        <v>0.7865483750171722</v>
      </c>
      <c r="O94" s="68">
        <f t="shared" si="23"/>
        <v>0.010417538946983291</v>
      </c>
      <c r="P94" s="61">
        <f t="shared" si="25"/>
        <v>0.008193898330427812</v>
      </c>
      <c r="Q94" s="68">
        <f t="shared" si="24"/>
        <v>0.7046880897187134</v>
      </c>
      <c r="R94" s="56">
        <f t="shared" si="26"/>
        <v>0.0029423259627475717</v>
      </c>
      <c r="T94" s="61"/>
    </row>
    <row r="95" spans="6:20" ht="12.75">
      <c r="F95" s="32">
        <v>4.25</v>
      </c>
      <c r="G95" s="66">
        <f t="shared" si="28"/>
        <v>0.8650222931107426</v>
      </c>
      <c r="H95" s="60">
        <f t="shared" si="27"/>
        <v>0.04000000000000073</v>
      </c>
      <c r="I95" s="66">
        <f t="shared" si="19"/>
        <v>0</v>
      </c>
      <c r="J95" s="59">
        <f t="shared" si="20"/>
        <v>0</v>
      </c>
      <c r="K95" s="68">
        <f>SwapRate*SUMPRODUCT(G96:$G$112,J96:$J$112)/SUMPRODUCT(G96:$G$112,I96:$I$112)</f>
        <v>0.040000000000000736</v>
      </c>
      <c r="L95" s="59">
        <f t="shared" si="21"/>
        <v>0.5262302630346336</v>
      </c>
      <c r="M95" s="66">
        <f t="shared" si="22"/>
        <v>0.010842059832426032</v>
      </c>
      <c r="N95" s="59">
        <f>SUM(G96:$G$112)/G95*0.05</f>
        <v>0.7381230459132123</v>
      </c>
      <c r="O95" s="68">
        <f t="shared" si="23"/>
        <v>0.010459786207342246</v>
      </c>
      <c r="P95" s="61">
        <f t="shared" si="25"/>
        <v>0.007720609254964466</v>
      </c>
      <c r="Q95" s="68">
        <f t="shared" si="24"/>
        <v>0.70175799794189</v>
      </c>
      <c r="R95" s="56">
        <f t="shared" si="26"/>
        <v>0.0029300917768234624</v>
      </c>
      <c r="T95" s="61"/>
    </row>
    <row r="96" spans="6:20" ht="12.75">
      <c r="F96" s="32">
        <v>4.3</v>
      </c>
      <c r="G96" s="66">
        <f t="shared" si="28"/>
        <v>0.8632939774163207</v>
      </c>
      <c r="H96" s="60">
        <f t="shared" si="27"/>
        <v>0.04000000000000073</v>
      </c>
      <c r="I96" s="66">
        <f t="shared" si="19"/>
        <v>0</v>
      </c>
      <c r="J96" s="59">
        <f t="shared" si="20"/>
        <v>0</v>
      </c>
      <c r="K96" s="68">
        <f>SwapRate*SUMPRODUCT(G97:$G$112,J97:$J$112)/SUMPRODUCT(G97:$G$112,I97:$I$112)</f>
        <v>0.040000000000000736</v>
      </c>
      <c r="L96" s="59">
        <f t="shared" si="21"/>
        <v>0.5261758564803517</v>
      </c>
      <c r="M96" s="66">
        <f t="shared" si="22"/>
        <v>0.00776482264715872</v>
      </c>
      <c r="N96" s="59">
        <f>SUM(G97:$G$112)/G96*0.05</f>
        <v>0.689600769235787</v>
      </c>
      <c r="O96" s="68">
        <f t="shared" si="23"/>
        <v>0.010501787087796793</v>
      </c>
      <c r="P96" s="61">
        <f t="shared" si="25"/>
        <v>0.007242040454095123</v>
      </c>
      <c r="Q96" s="68">
        <f t="shared" si="24"/>
        <v>0.6988400894812683</v>
      </c>
      <c r="R96" s="56">
        <f t="shared" si="26"/>
        <v>0.0029179084606216765</v>
      </c>
      <c r="T96" s="61"/>
    </row>
    <row r="97" spans="6:20" ht="12.75">
      <c r="F97" s="32">
        <v>4.35</v>
      </c>
      <c r="G97" s="66">
        <f t="shared" si="28"/>
        <v>0.8615691148989596</v>
      </c>
      <c r="H97" s="60">
        <f t="shared" si="27"/>
        <v>0.040000000000000174</v>
      </c>
      <c r="I97" s="66">
        <f t="shared" si="19"/>
        <v>0</v>
      </c>
      <c r="J97" s="59">
        <f t="shared" si="20"/>
        <v>0</v>
      </c>
      <c r="K97" s="68">
        <f>SwapRate*SUMPRODUCT(G98:$G$112,J98:$J$112)/SUMPRODUCT(G98:$G$112,I98:$I$112)</f>
        <v>0.040000000000000736</v>
      </c>
      <c r="L97" s="59">
        <f t="shared" si="21"/>
        <v>0.5261397629844454</v>
      </c>
      <c r="M97" s="66">
        <f t="shared" si="22"/>
        <v>0.004723422619090201</v>
      </c>
      <c r="N97" s="59">
        <f>SUM(G98:$G$112)/G97*0.05</f>
        <v>0.6409813508957245</v>
      </c>
      <c r="O97" s="68">
        <f t="shared" si="23"/>
        <v>0.010543545472011504</v>
      </c>
      <c r="P97" s="61">
        <f t="shared" si="25"/>
        <v>0.006758216019880433</v>
      </c>
      <c r="Q97" s="68">
        <f t="shared" si="24"/>
        <v>0.695934313678642</v>
      </c>
      <c r="R97" s="56">
        <f t="shared" si="26"/>
        <v>0.002905775802626298</v>
      </c>
      <c r="T97" s="61"/>
    </row>
    <row r="98" spans="6:20" ht="12.75">
      <c r="F98" s="32">
        <v>4.4</v>
      </c>
      <c r="G98" s="66">
        <f t="shared" si="28"/>
        <v>0.8598476986592068</v>
      </c>
      <c r="H98" s="60">
        <f t="shared" si="27"/>
        <v>0.039999999999998356</v>
      </c>
      <c r="I98" s="66">
        <f t="shared" si="19"/>
        <v>0</v>
      </c>
      <c r="J98" s="59">
        <f t="shared" si="20"/>
        <v>0</v>
      </c>
      <c r="K98" s="68">
        <f>SwapRate*SUMPRODUCT(G99:$G$112,J99:$J$112)/SUMPRODUCT(G99:$G$112,I99:$I$112)</f>
        <v>0.040000000000000736</v>
      </c>
      <c r="L98" s="59">
        <f t="shared" si="21"/>
        <v>0.5261213618046913</v>
      </c>
      <c r="M98" s="66">
        <f t="shared" si="22"/>
        <v>0.0017169377196154523</v>
      </c>
      <c r="N98" s="59">
        <f>SUM(G99:$G$112)/G98*0.05</f>
        <v>0.5922645964152871</v>
      </c>
      <c r="O98" s="68">
        <f t="shared" si="23"/>
        <v>0.010585065141558509</v>
      </c>
      <c r="P98" s="61">
        <f t="shared" si="25"/>
        <v>0.006269159334094674</v>
      </c>
      <c r="Q98" s="68">
        <f t="shared" si="24"/>
        <v>0.6930406200864415</v>
      </c>
      <c r="R98" s="56">
        <f t="shared" si="26"/>
        <v>0.002893693592200486</v>
      </c>
      <c r="T98" s="61"/>
    </row>
    <row r="99" spans="6:20" ht="12.75">
      <c r="F99" s="32">
        <v>4.45</v>
      </c>
      <c r="G99" s="66">
        <f t="shared" si="28"/>
        <v>0.8581297218113951</v>
      </c>
      <c r="H99" s="60">
        <f t="shared" si="27"/>
        <v>0.04000000000000073</v>
      </c>
      <c r="I99" s="66">
        <f t="shared" si="19"/>
        <v>0</v>
      </c>
      <c r="J99" s="59">
        <f t="shared" si="20"/>
        <v>0</v>
      </c>
      <c r="K99" s="68">
        <f>SwapRate*SUMPRODUCT(G100:$G$112,J100:$J$112)/SUMPRODUCT(G100:$G$112,I100:$I$112)</f>
        <v>0.040000000000000736</v>
      </c>
      <c r="L99" s="59">
        <f t="shared" si="21"/>
        <v>0.5261200583526823</v>
      </c>
      <c r="M99" s="66">
        <f t="shared" si="22"/>
        <v>-0.001255519390542359</v>
      </c>
      <c r="N99" s="59">
        <f>SUM(G100:$G$112)/G99*0.05</f>
        <v>0.5434503109273916</v>
      </c>
      <c r="O99" s="68">
        <f t="shared" si="23"/>
        <v>0.010626349779628834</v>
      </c>
      <c r="P99" s="61">
        <f t="shared" si="25"/>
        <v>0.005774893091762509</v>
      </c>
      <c r="Q99" s="68">
        <f t="shared" si="24"/>
        <v>0.6901589584668583</v>
      </c>
      <c r="R99" s="56">
        <f t="shared" si="26"/>
        <v>0.0028816616195832534</v>
      </c>
      <c r="T99" s="61"/>
    </row>
    <row r="100" spans="6:20" ht="12.75">
      <c r="F100" s="32">
        <v>4.5</v>
      </c>
      <c r="G100" s="66">
        <f t="shared" si="28"/>
        <v>0.8564151774836148</v>
      </c>
      <c r="H100" s="60">
        <f t="shared" si="27"/>
        <v>0.04000000000000073</v>
      </c>
      <c r="I100" s="66">
        <f t="shared" si="19"/>
        <v>0.017415</v>
      </c>
      <c r="J100" s="59">
        <f t="shared" si="20"/>
        <v>0.020000000000000365</v>
      </c>
      <c r="K100" s="68">
        <f>SwapRate*SUMPRODUCT(G101:$G$112,J101:$J$112)/SUMPRODUCT(G101:$G$112,I101:$I$112)</f>
        <v>0.04000000000000072</v>
      </c>
      <c r="L100" s="59">
        <f t="shared" si="21"/>
        <v>0.5261352828358421</v>
      </c>
      <c r="M100" s="66">
        <f t="shared" si="22"/>
        <v>-0.004194803054068497</v>
      </c>
      <c r="N100" s="59">
        <f>SUM(G101:$G$112)/G100*0.05</f>
        <v>0.49453829917483105</v>
      </c>
      <c r="O100" s="68">
        <f t="shared" si="23"/>
        <v>0.010667402974572991</v>
      </c>
      <c r="P100" s="61">
        <f t="shared" si="25"/>
        <v>0.005275439323657861</v>
      </c>
      <c r="Q100" s="68">
        <f t="shared" si="24"/>
        <v>0.6872892787909722</v>
      </c>
      <c r="R100" s="56">
        <f t="shared" si="26"/>
        <v>0.0028696796758860277</v>
      </c>
      <c r="T100" s="61"/>
    </row>
    <row r="101" spans="6:20" ht="12.75">
      <c r="F101" s="32">
        <v>4.55</v>
      </c>
      <c r="G101" s="66">
        <f t="shared" si="28"/>
        <v>0.8547040588176864</v>
      </c>
      <c r="H101" s="60">
        <f t="shared" si="27"/>
        <v>0.03999999999999962</v>
      </c>
      <c r="I101" s="66">
        <f t="shared" si="19"/>
        <v>0</v>
      </c>
      <c r="J101" s="59">
        <f t="shared" si="20"/>
        <v>0</v>
      </c>
      <c r="K101" s="68">
        <f>SwapRate*SUMPRODUCT(G102:$G$112,J102:$J$112)/SUMPRODUCT(G102:$G$112,I102:$I$112)</f>
        <v>0.04000000000000072</v>
      </c>
      <c r="L101" s="59">
        <f t="shared" si="21"/>
        <v>0.5261664889835451</v>
      </c>
      <c r="M101" s="66">
        <f t="shared" si="22"/>
        <v>-0.007101736208993459</v>
      </c>
      <c r="N101" s="59">
        <f>SUM(G102:$G$112)/G101*0.05</f>
        <v>0.4455283655094934</v>
      </c>
      <c r="O101" s="68">
        <f t="shared" si="23"/>
        <v>0.010708228223280013</v>
      </c>
      <c r="P101" s="61">
        <f t="shared" si="25"/>
        <v>0.004770819417820571</v>
      </c>
      <c r="Q101" s="68">
        <f t="shared" si="24"/>
        <v>0.6844315312378836</v>
      </c>
      <c r="R101" s="56">
        <f t="shared" si="26"/>
        <v>0.002857747553088652</v>
      </c>
      <c r="T101" s="61"/>
    </row>
    <row r="102" spans="6:20" ht="12.75">
      <c r="F102" s="32">
        <v>4.6</v>
      </c>
      <c r="G102" s="66">
        <f t="shared" si="28"/>
        <v>0.8529963589691328</v>
      </c>
      <c r="H102" s="60">
        <f t="shared" si="27"/>
        <v>0.040000000000000174</v>
      </c>
      <c r="I102" s="66">
        <f t="shared" si="19"/>
        <v>0</v>
      </c>
      <c r="J102" s="59">
        <f t="shared" si="20"/>
        <v>0</v>
      </c>
      <c r="K102" s="68">
        <f>SwapRate*SUMPRODUCT(G103:$G$112,J103:$J$112)/SUMPRODUCT(G103:$G$112,I103:$I$112)</f>
        <v>0.04000000000000072</v>
      </c>
      <c r="L102" s="59">
        <f t="shared" si="21"/>
        <v>0.5262131528512876</v>
      </c>
      <c r="M102" s="66">
        <f t="shared" si="22"/>
        <v>-0.009977111886892875</v>
      </c>
      <c r="N102" s="59">
        <f>SUM(G103:$G$112)/G102*0.05</f>
        <v>0.39642031389157834</v>
      </c>
      <c r="O102" s="68">
        <f t="shared" si="23"/>
        <v>0.010748828934403914</v>
      </c>
      <c r="P102" s="61">
        <f t="shared" si="25"/>
        <v>0.004261054140143279</v>
      </c>
      <c r="Q102" s="68">
        <f t="shared" si="24"/>
        <v>0.6815856661938479</v>
      </c>
      <c r="R102" s="56">
        <f t="shared" si="26"/>
        <v>0.0028458650440357225</v>
      </c>
      <c r="T102" s="61"/>
    </row>
    <row r="103" spans="6:20" ht="12.75">
      <c r="F103" s="32">
        <v>4.65</v>
      </c>
      <c r="G103" s="66">
        <f t="shared" si="28"/>
        <v>0.8512920711071524</v>
      </c>
      <c r="H103" s="60">
        <f t="shared" si="27"/>
        <v>0.04000000000000002</v>
      </c>
      <c r="I103" s="66">
        <f t="shared" si="19"/>
        <v>0</v>
      </c>
      <c r="J103" s="59">
        <f t="shared" si="20"/>
        <v>0</v>
      </c>
      <c r="K103" s="68">
        <f>SwapRate*SUMPRODUCT(G104:$G$112,J104:$J$112)/SUMPRODUCT(G104:$G$112,I104:$I$112)</f>
        <v>0.04000000000000072</v>
      </c>
      <c r="L103" s="59">
        <f t="shared" si="21"/>
        <v>0.5262747716973669</v>
      </c>
      <c r="M103" s="66">
        <f t="shared" si="22"/>
        <v>-0.012821694623828761</v>
      </c>
      <c r="N103" s="59">
        <f>SUM(G104:$G$112)/G103*0.05</f>
        <v>0.3472139478888141</v>
      </c>
      <c r="O103" s="68">
        <f t="shared" si="23"/>
        <v>0.010789208431445867</v>
      </c>
      <c r="P103" s="61">
        <f t="shared" si="25"/>
        <v>0.0037461636540775988</v>
      </c>
      <c r="Q103" s="68">
        <f t="shared" si="24"/>
        <v>0.6787516342514144</v>
      </c>
      <c r="R103" s="56">
        <f t="shared" si="26"/>
        <v>0.0028340319424334792</v>
      </c>
      <c r="T103" s="61"/>
    </row>
    <row r="104" spans="6:20" ht="12.75">
      <c r="F104" s="32">
        <v>4.7</v>
      </c>
      <c r="G104" s="66">
        <f t="shared" si="28"/>
        <v>0.8495911884145916</v>
      </c>
      <c r="H104" s="60">
        <f t="shared" si="27"/>
        <v>0.03999999999999962</v>
      </c>
      <c r="I104" s="66">
        <f t="shared" si="19"/>
        <v>0</v>
      </c>
      <c r="J104" s="59">
        <f t="shared" si="20"/>
        <v>0</v>
      </c>
      <c r="K104" s="68">
        <f>SwapRate*SUMPRODUCT(G105:$G$112,J105:$J$112)/SUMPRODUCT(G105:$G$112,I105:$I$112)</f>
        <v>0.04000000000000072</v>
      </c>
      <c r="L104" s="59">
        <f t="shared" si="21"/>
        <v>0.52635086292696</v>
      </c>
      <c r="M104" s="66">
        <f t="shared" si="22"/>
        <v>-0.015636221790010008</v>
      </c>
      <c r="N104" s="59">
        <f>SUM(G105:$G$112)/G104*0.05</f>
        <v>0.297909070675671</v>
      </c>
      <c r="O104" s="68">
        <f t="shared" si="23"/>
        <v>0.010829369955699903</v>
      </c>
      <c r="P104" s="61">
        <f t="shared" si="25"/>
        <v>0.0032261675395055906</v>
      </c>
      <c r="Q104" s="68">
        <f t="shared" si="24"/>
        <v>0.6759293862085685</v>
      </c>
      <c r="R104" s="56">
        <f t="shared" si="26"/>
        <v>0.0028222480428459207</v>
      </c>
      <c r="T104" s="61"/>
    </row>
    <row r="105" spans="6:20" ht="12.75">
      <c r="F105" s="32">
        <v>4.75</v>
      </c>
      <c r="G105" s="66">
        <f t="shared" si="28"/>
        <v>0.8478937040879172</v>
      </c>
      <c r="H105" s="60">
        <f t="shared" si="27"/>
        <v>0.03999999999999851</v>
      </c>
      <c r="I105" s="66">
        <f t="shared" si="19"/>
        <v>0</v>
      </c>
      <c r="J105" s="59">
        <f t="shared" si="20"/>
        <v>0</v>
      </c>
      <c r="K105" s="68">
        <f>SwapRate*SUMPRODUCT(G106:$G$112,J106:$J$112)/SUMPRODUCT(G106:$G$112,I106:$I$112)</f>
        <v>0.04000000000000072</v>
      </c>
      <c r="L105" s="59">
        <f t="shared" si="21"/>
        <v>0.526440963098906</v>
      </c>
      <c r="M105" s="66">
        <f t="shared" si="22"/>
        <v>-0.01842140484367827</v>
      </c>
      <c r="N105" s="59">
        <f>SUM(G106:$G$112)/G105*0.05</f>
        <v>0.2485054850325745</v>
      </c>
      <c r="O105" s="68">
        <f t="shared" si="23"/>
        <v>0.010869316669069234</v>
      </c>
      <c r="P105" s="61">
        <f t="shared" si="25"/>
        <v>0.0027010848108196973</v>
      </c>
      <c r="Q105" s="68">
        <f t="shared" si="24"/>
        <v>0.6731188730678772</v>
      </c>
      <c r="R105" s="56">
        <f t="shared" si="26"/>
        <v>0.002810513140691251</v>
      </c>
      <c r="T105" s="61"/>
    </row>
    <row r="106" spans="6:20" ht="12.75">
      <c r="F106" s="32">
        <v>4.8</v>
      </c>
      <c r="G106" s="66">
        <f t="shared" si="28"/>
        <v>0.8461996113371897</v>
      </c>
      <c r="H106" s="60">
        <f t="shared" si="27"/>
        <v>0.039999999999999064</v>
      </c>
      <c r="I106" s="66">
        <f t="shared" si="19"/>
        <v>0</v>
      </c>
      <c r="J106" s="59">
        <f t="shared" si="20"/>
        <v>0</v>
      </c>
      <c r="K106" s="68">
        <f>SwapRate*SUMPRODUCT(G107:$G$112,J107:$J$112)/SUMPRODUCT(G107:$G$112,I107:$I$112)</f>
        <v>0.04000000000000072</v>
      </c>
      <c r="L106" s="59">
        <f t="shared" si="21"/>
        <v>0.5265446269908727</v>
      </c>
      <c r="M106" s="66">
        <f t="shared" si="22"/>
        <v>-0.021177930514293397</v>
      </c>
      <c r="N106" s="59">
        <f>SUM(G107:$G$112)/G106*0.05</f>
        <v>0.19900299334511606</v>
      </c>
      <c r="O106" s="68">
        <f t="shared" si="23"/>
        <v>0.010909051656760326</v>
      </c>
      <c r="P106" s="61">
        <f t="shared" si="25"/>
        <v>0.0021709339342518025</v>
      </c>
      <c r="Q106" s="68">
        <f t="shared" si="24"/>
        <v>0.6703200460356393</v>
      </c>
      <c r="R106" s="56">
        <f t="shared" si="26"/>
        <v>0.0027988270322378828</v>
      </c>
      <c r="T106" s="61"/>
    </row>
    <row r="107" spans="6:20" ht="12.75">
      <c r="F107" s="32">
        <v>4.85</v>
      </c>
      <c r="G107" s="66">
        <f t="shared" si="28"/>
        <v>0.8445089033860358</v>
      </c>
      <c r="H107" s="60">
        <f t="shared" si="27"/>
        <v>0.039999999999999064</v>
      </c>
      <c r="I107" s="66">
        <f t="shared" si="19"/>
        <v>0</v>
      </c>
      <c r="J107" s="59">
        <f t="shared" si="20"/>
        <v>0</v>
      </c>
      <c r="K107" s="68">
        <f>SwapRate*SUMPRODUCT(G108:$G$112,J108:$J$112)/SUMPRODUCT(G108:$G$112,I108:$I$112)</f>
        <v>0.04000000000000072</v>
      </c>
      <c r="L107" s="59">
        <f>(LN(K107/SwapRate)+0.5*SwapRateVol^2*F107)/(SwapRateVol*SQRT(F107))</f>
        <v>0.5266614267189192</v>
      </c>
      <c r="M107" s="66">
        <f>L107-SwapRateVol*SQRT(F107)</f>
        <v>-0.023906461919711797</v>
      </c>
      <c r="N107" s="59">
        <f>SUM(G108:$G$112)/G107*0.05</f>
        <v>0.149401397603263</v>
      </c>
      <c r="O107" s="68">
        <f t="shared" si="23"/>
        <v>0.010948577929860814</v>
      </c>
      <c r="P107" s="61">
        <f t="shared" si="25"/>
        <v>0.0016357328444894456</v>
      </c>
      <c r="Q107" s="68">
        <f t="shared" si="24"/>
        <v>0.6675328565210373</v>
      </c>
      <c r="R107" s="56">
        <f t="shared" si="26"/>
        <v>0.0027871895146019954</v>
      </c>
      <c r="T107" s="61"/>
    </row>
    <row r="108" spans="6:20" ht="12.75">
      <c r="F108" s="32">
        <v>4.9</v>
      </c>
      <c r="G108" s="66">
        <f t="shared" si="28"/>
        <v>0.8428215734716215</v>
      </c>
      <c r="H108" s="60">
        <f t="shared" si="27"/>
        <v>0.039999999999998356</v>
      </c>
      <c r="I108" s="66">
        <f t="shared" si="19"/>
        <v>0</v>
      </c>
      <c r="J108" s="59">
        <f t="shared" si="20"/>
        <v>0</v>
      </c>
      <c r="K108" s="68">
        <f>SwapRate*SUMPRODUCT(G109:$G$112,J109:$J$112)/SUMPRODUCT(G109:$G$112,I109:$I$112)</f>
        <v>0.04000000000000072</v>
      </c>
      <c r="L108" s="59">
        <f>(LN(K108/SwapRate)+0.5*SwapRateVol^2*F108)/(SwapRateVol*SQRT(F108))</f>
        <v>0.526790950907783</v>
      </c>
      <c r="M108" s="66">
        <f>L108-SwapRateVol*SQRT(F108)</f>
        <v>-0.026607639621683332</v>
      </c>
      <c r="N108" s="59">
        <f>SUM(G109:$G$112)/G108*0.05</f>
        <v>0.09970049940056623</v>
      </c>
      <c r="O108" s="68">
        <f t="shared" si="23"/>
        <v>0.010987898427807556</v>
      </c>
      <c r="P108" s="61">
        <f t="shared" si="25"/>
        <v>0.00109549896061511</v>
      </c>
      <c r="Q108" s="68">
        <f t="shared" si="24"/>
        <v>0.6647572561352943</v>
      </c>
      <c r="R108" s="56">
        <f t="shared" si="26"/>
        <v>0.0027756003857429823</v>
      </c>
      <c r="T108" s="61"/>
    </row>
    <row r="109" spans="6:20" ht="12.75">
      <c r="F109" s="32">
        <v>4.95</v>
      </c>
      <c r="G109" s="66">
        <f t="shared" si="28"/>
        <v>0.8411376148446247</v>
      </c>
      <c r="H109" s="60">
        <f t="shared" si="27"/>
        <v>0.04000000000000073</v>
      </c>
      <c r="I109" s="66">
        <f t="shared" si="19"/>
        <v>0</v>
      </c>
      <c r="J109" s="59">
        <f t="shared" si="20"/>
        <v>0</v>
      </c>
      <c r="K109" s="68">
        <f>SwapRate*SUMPRODUCT(G110:$G$112,J110:$J$112)/SUMPRODUCT(G110:$G$112,I110:$I$112)</f>
        <v>0.04000000000000072</v>
      </c>
      <c r="L109" s="59">
        <f>(LN(K109/SwapRate)+0.5*SwapRateVol^2*F109)/(SwapRateVol*SQRT(F109))</f>
        <v>0.5269328039084955</v>
      </c>
      <c r="M109" s="66">
        <f>L109-SwapRateVol*SQRT(F109)</f>
        <v>-0.029282082623679262</v>
      </c>
      <c r="N109" s="59">
        <f>SUM(G110:$G$112)/G109*0.05</f>
        <v>0.04990009993336666</v>
      </c>
      <c r="O109" s="68">
        <f t="shared" si="23"/>
        <v>0.011027016020750274</v>
      </c>
      <c r="P109" s="61">
        <f t="shared" si="25"/>
        <v>0.0005502492014022738</v>
      </c>
      <c r="Q109" s="68">
        <f t="shared" si="24"/>
        <v>0.661993196690834</v>
      </c>
      <c r="R109" s="56">
        <f t="shared" si="26"/>
        <v>0.002764059444460343</v>
      </c>
      <c r="T109" s="61"/>
    </row>
    <row r="110" spans="6:18" ht="13.5" thickBot="1">
      <c r="F110" s="43">
        <v>5</v>
      </c>
      <c r="G110" s="67">
        <f t="shared" si="28"/>
        <v>0.8394570207692088</v>
      </c>
      <c r="H110" s="63">
        <f t="shared" si="27"/>
        <v>0.04000000000000073</v>
      </c>
      <c r="I110" s="67">
        <f t="shared" si="19"/>
        <v>0.017415</v>
      </c>
      <c r="J110" s="62">
        <f t="shared" si="20"/>
        <v>0.020000000000000365</v>
      </c>
      <c r="K110" s="69"/>
      <c r="L110" s="64"/>
      <c r="M110" s="71"/>
      <c r="N110" s="62"/>
      <c r="O110" s="69"/>
      <c r="P110" s="64"/>
      <c r="Q110" s="69"/>
      <c r="R110" s="65"/>
    </row>
    <row r="111" spans="6:11" ht="12.75">
      <c r="F111" s="6"/>
      <c r="G111" s="7"/>
      <c r="H111" s="53"/>
      <c r="I111" s="7"/>
      <c r="J111" s="7"/>
      <c r="K111" s="54"/>
    </row>
    <row r="112" spans="6:11" ht="12.75">
      <c r="F112" s="6"/>
      <c r="G112" s="7"/>
      <c r="H112" s="53"/>
      <c r="I112" s="7"/>
      <c r="J112" s="7"/>
      <c r="K112" s="54"/>
    </row>
    <row r="113" spans="6:7" ht="12.75">
      <c r="F113" s="6"/>
      <c r="G113" s="7"/>
    </row>
    <row r="114" spans="6:7" ht="12.75">
      <c r="F114" s="6"/>
      <c r="G114" s="7"/>
    </row>
    <row r="115" spans="6:7" ht="12.75">
      <c r="F115" s="6"/>
      <c r="G115" s="7"/>
    </row>
    <row r="116" spans="6:7" ht="12.75">
      <c r="F116" s="6"/>
      <c r="G116" s="7"/>
    </row>
    <row r="117" spans="6:7" ht="12.75">
      <c r="F117" s="6"/>
      <c r="G117" s="7"/>
    </row>
    <row r="118" spans="6:7" ht="12.75">
      <c r="F118" s="6"/>
      <c r="G118" s="7"/>
    </row>
    <row r="119" spans="6:7" ht="12.75">
      <c r="F119" s="6"/>
      <c r="G119" s="7"/>
    </row>
    <row r="120" spans="6:7" ht="12.75">
      <c r="F120" s="6"/>
      <c r="G120" s="7"/>
    </row>
    <row r="121" spans="6:7" ht="12.75">
      <c r="F121" s="6"/>
      <c r="G121" s="7"/>
    </row>
    <row r="122" spans="6:7" ht="12.75">
      <c r="F122" s="6"/>
      <c r="G122" s="7"/>
    </row>
    <row r="123" spans="6:7" ht="12.75">
      <c r="F123" s="6"/>
      <c r="G123" s="7"/>
    </row>
    <row r="124" spans="6:7" ht="12.75">
      <c r="F124" s="6"/>
      <c r="G124" s="7"/>
    </row>
    <row r="125" spans="6:7" ht="12.75">
      <c r="F125" s="6"/>
      <c r="G125" s="7"/>
    </row>
    <row r="126" spans="6:7" ht="12.75">
      <c r="F126" s="6"/>
      <c r="G126" s="7"/>
    </row>
    <row r="127" spans="6:7" ht="12.75">
      <c r="F127" s="6"/>
      <c r="G127" s="7"/>
    </row>
    <row r="128" spans="6:7" ht="12.75">
      <c r="F128" s="6"/>
      <c r="G128" s="7"/>
    </row>
    <row r="129" spans="6:7" ht="12.75">
      <c r="F129" s="6"/>
      <c r="G129" s="7"/>
    </row>
    <row r="130" spans="6:7" ht="12.75">
      <c r="F130" s="6"/>
      <c r="G130" s="7"/>
    </row>
    <row r="131" spans="6:7" ht="12.75">
      <c r="F131" s="6"/>
      <c r="G131" s="7"/>
    </row>
    <row r="132" spans="6:7" ht="12.75">
      <c r="F132" s="6"/>
      <c r="G132" s="7"/>
    </row>
    <row r="133" spans="6:7" ht="12.75">
      <c r="F133" s="6"/>
      <c r="G133" s="7"/>
    </row>
    <row r="134" spans="6:7" ht="12.75">
      <c r="F134" s="6"/>
      <c r="G134" s="7"/>
    </row>
    <row r="135" spans="6:7" ht="12.75">
      <c r="F135" s="6"/>
      <c r="G135" s="7"/>
    </row>
    <row r="136" spans="6:7" ht="12.75">
      <c r="F136" s="6"/>
      <c r="G136" s="7"/>
    </row>
    <row r="137" spans="6:7" ht="12.75">
      <c r="F137" s="6"/>
      <c r="G137" s="7"/>
    </row>
    <row r="138" spans="6:7" ht="12.75">
      <c r="F138" s="6"/>
      <c r="G138" s="7"/>
    </row>
    <row r="139" spans="6:7" ht="12.75">
      <c r="F139" s="6"/>
      <c r="G139" s="7"/>
    </row>
    <row r="140" spans="6:7" ht="12.75">
      <c r="F140" s="6"/>
      <c r="G140" s="7"/>
    </row>
    <row r="141" spans="6:7" ht="12.75">
      <c r="F141" s="6"/>
      <c r="G141" s="7"/>
    </row>
    <row r="142" spans="6:7" ht="12.75">
      <c r="F142" s="6"/>
      <c r="G142" s="7"/>
    </row>
    <row r="143" spans="6:7" ht="12.75">
      <c r="F143" s="6"/>
      <c r="G143" s="7"/>
    </row>
    <row r="144" spans="6:7" ht="12.75">
      <c r="F144" s="6"/>
      <c r="G144" s="7"/>
    </row>
    <row r="145" spans="6:7" ht="12.75">
      <c r="F145" s="6"/>
      <c r="G145" s="7"/>
    </row>
    <row r="146" spans="6:7" ht="12.75">
      <c r="F146" s="6"/>
      <c r="G146" s="7"/>
    </row>
    <row r="147" spans="6:7" ht="12.75">
      <c r="F147" s="6"/>
      <c r="G147" s="7"/>
    </row>
    <row r="148" spans="6:7" ht="12.75">
      <c r="F148" s="6"/>
      <c r="G148" s="7"/>
    </row>
    <row r="149" spans="6:7" ht="12.75">
      <c r="F149" s="6"/>
      <c r="G149" s="7"/>
    </row>
    <row r="150" spans="6:7" ht="12.75">
      <c r="F150" s="6"/>
      <c r="G150" s="7"/>
    </row>
    <row r="151" spans="6:7" ht="12.75">
      <c r="F151" s="6"/>
      <c r="G151" s="7"/>
    </row>
  </sheetData>
  <sheetProtection/>
  <mergeCells count="4">
    <mergeCell ref="B9:C9"/>
    <mergeCell ref="B15:C15"/>
    <mergeCell ref="B22:C22"/>
    <mergeCell ref="B27:C27"/>
  </mergeCells>
  <dataValidations count="2">
    <dataValidation type="list" allowBlank="1" showInputMessage="1" showErrorMessage="1" sqref="C11">
      <formula1>"PAY,REC"</formula1>
    </dataValidation>
    <dataValidation type="list" allowBlank="1" showInputMessage="1" showErrorMessage="1" sqref="C12:C13">
      <formula1>"A, S, Q"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Gregory</dc:creator>
  <cp:keywords/>
  <dc:description/>
  <cp:lastModifiedBy>jon gregory</cp:lastModifiedBy>
  <dcterms:created xsi:type="dcterms:W3CDTF">2009-11-27T11:14:55Z</dcterms:created>
  <dcterms:modified xsi:type="dcterms:W3CDTF">2011-06-14T15:11:11Z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