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05" windowWidth="11355" windowHeight="7935"/>
  </bookViews>
  <sheets>
    <sheet name="Spreadsheet12.1" sheetId="7" r:id="rId1"/>
    <sheet name="Spreadsheet12.2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LS1">#REF!</definedName>
    <definedName name="_LS2">#REF!</definedName>
    <definedName name="_mu1">#REF!</definedName>
    <definedName name="_mu2">#REF!</definedName>
    <definedName name="_Mu3">#REF!</definedName>
    <definedName name="_nd1">[1]Spreadsheet8.2!$F$11</definedName>
    <definedName name="_nd2">[1]Spreadsheet8.2!$F$12</definedName>
    <definedName name="_PV1">#REF!</definedName>
    <definedName name="_PV2">#REF!</definedName>
    <definedName name="_RDV01">[2]CancellableCDS!#REF!</definedName>
    <definedName name="_Rho1">[2]CDOPricer!$Q$15</definedName>
    <definedName name="_Rho2">[2]CDOPricer!$Q$16</definedName>
    <definedName name="_Val1">[3]CVA!$J$3</definedName>
    <definedName name="_Val2">[3]CVA!$J$4</definedName>
    <definedName name="_Val3">[3]CVA!$J$5</definedName>
    <definedName name="_VaR10">#REF!</definedName>
    <definedName name="_VAR2">#REF!</definedName>
    <definedName name="_VAR3">#REF!</definedName>
    <definedName name="_vd1">#REF!</definedName>
    <definedName name="_vd2">#REF!</definedName>
    <definedName name="_vvd1">[4]TreePricer!$C$26</definedName>
    <definedName name="_wd1">[4]TreePricer!$C$27</definedName>
    <definedName name="_xd1">[5]HedgingSimulation!$C$14</definedName>
    <definedName name="_xd2">[5]HedgingSimulation!$C$15</definedName>
    <definedName name="AccrCell">#REF!</definedName>
    <definedName name="AccrChoice">#REF!</definedName>
    <definedName name="AccruedCell">#REF!</definedName>
    <definedName name="AccruedChoice">#REF!</definedName>
    <definedName name="AccruedInterest">'[6]Bond Price with Excel'!$B$24</definedName>
    <definedName name="AccruedOptions">#REF!</definedName>
    <definedName name="AccruedOrNot">#REF!</definedName>
    <definedName name="AccruedPrem">#REF!</definedName>
    <definedName name="AccruedYesNo">#REF!</definedName>
    <definedName name="Accured">#REF!</definedName>
    <definedName name="ActIntensity1">[7]CVA!#REF!</definedName>
    <definedName name="ActIntensity2">[7]CVA!#REF!</definedName>
    <definedName name="ActMat">#REF!</definedName>
    <definedName name="Actual_Rating_11">#REF!</definedName>
    <definedName name="AgentRec">[3]CVA!#REF!</definedName>
    <definedName name="AllRandomNumbers">#REF!</definedName>
    <definedName name="Alpha" localSheetId="0">Spreadsheet12.1!$C$13</definedName>
    <definedName name="Alpha">#REF!</definedName>
    <definedName name="AlphaEPE">[3]Portfolio!$J$9</definedName>
    <definedName name="AlphaParam">#REF!</definedName>
    <definedName name="AmortChoice">#REF!</definedName>
    <definedName name="Amortisation">#REF!</definedName>
    <definedName name="AmortisedTime">#REF!</definedName>
    <definedName name="Amortising">#REF!</definedName>
    <definedName name="Amortizing">#REF!</definedName>
    <definedName name="AmortOrNot">#REF!</definedName>
    <definedName name="amount1">[8]SimpleCovarianceWithWeights!$J$3</definedName>
    <definedName name="amount2">[8]SimpleCovarianceWithWeights!$K$3</definedName>
    <definedName name="AmountToLiquidate">#REF!</definedName>
    <definedName name="AnalyticalDeltas">#REF!</definedName>
    <definedName name="Annuity">'[2]Bond-CDS Basis'!$C$19</definedName>
    <definedName name="Asset2">[9]MonteCarlo!#REF!</definedName>
    <definedName name="AssetCorrelation">[3]Portfolio!$J$11</definedName>
    <definedName name="AssetMC">[9]MonteCarlo!$C$3</definedName>
    <definedName name="AssetPrice">#REF!</definedName>
    <definedName name="AssetVal">#REF!</definedName>
    <definedName name="AssetValue">#REF!</definedName>
    <definedName name="Assetvol">[10]CreditGrades!$C$14</definedName>
    <definedName name="AssetVolatility">#REF!</definedName>
    <definedName name="At">[10]CreditGrades!$C$15</definedName>
    <definedName name="Attach">[2]CDOPricer!$C$17</definedName>
    <definedName name="Attach2">#REF!</definedName>
    <definedName name="AvDefProb">[3]Portfolio!#REF!</definedName>
    <definedName name="AvRecovery">[10]Portfolio!#REF!</definedName>
    <definedName name="AvSpread">[11]IndexBasis!$I$10</definedName>
    <definedName name="AvSpread2">#REF!</definedName>
    <definedName name="Barrier">[5]OptionPricer!$C$20</definedName>
    <definedName name="BaseCorrel1">#REF!</definedName>
    <definedName name="BaseCorrel2">#REF!</definedName>
    <definedName name="BaseCorrelComb">#REF!</definedName>
    <definedName name="BaseCorrelCurve">#REF!</definedName>
    <definedName name="BaseCorrelEUR">#REF!</definedName>
    <definedName name="BaseCorrelUS">#REF!</definedName>
    <definedName name="BaseCorrEuro">#REF!</definedName>
    <definedName name="BaseCorrUS">#REF!</definedName>
    <definedName name="Basis">#REF!</definedName>
    <definedName name="Basis1">#REF!</definedName>
    <definedName name="Basis2">#REF!</definedName>
    <definedName name="BasisChoices">#REF!</definedName>
    <definedName name="BasisIndex">#REF!</definedName>
    <definedName name="BasisTable1">#REF!</definedName>
    <definedName name="BasisTable2">#REF!</definedName>
    <definedName name="BasketMaturity">[2]BasketPricer!$C$14</definedName>
    <definedName name="BasketPV">#REF!</definedName>
    <definedName name="BasketSize">[2]BasketPricer!$C$15</definedName>
    <definedName name="BasketType">#REF!</definedName>
    <definedName name="bBasis">#REF!</definedName>
    <definedName name="bBasisIndex">#REF!</definedName>
    <definedName name="BCorrel">#REF!</definedName>
    <definedName name="Beta">#REF!</definedName>
    <definedName name="bFreq">#REF!</definedName>
    <definedName name="bFreqIndex">#REF!</definedName>
    <definedName name="BID">#REF!</definedName>
    <definedName name="bilateral_penalty">#REF!</definedName>
    <definedName name="bilaterla_penalty">#REF!</definedName>
    <definedName name="blank_ref_cell">#REF!</definedName>
    <definedName name="bMatDate">#REF!</definedName>
    <definedName name="Bond_Data_11">#REF!</definedName>
    <definedName name="BondCoupon">'[2]Bond-CDS Basis'!$C$13</definedName>
    <definedName name="BondDeltaApprox">#REF!</definedName>
    <definedName name="BondDeltaApprox2">#REF!</definedName>
    <definedName name="BondDuration">#REF!</definedName>
    <definedName name="BondMaturity">'[2]Bond-CDS Basis'!$Q$9</definedName>
    <definedName name="BondPrice">#REF!</definedName>
    <definedName name="BondPrice_11">#REF!</definedName>
    <definedName name="BondPriceNow">#REF!</definedName>
    <definedName name="BondRecovery">'[2]Bond-CDS Basis'!$C$14</definedName>
    <definedName name="bRecovery">#REF!</definedName>
    <definedName name="BumpType">#REF!</definedName>
    <definedName name="BuyFrom">#REF!</definedName>
    <definedName name="CalChoices">#REF!</definedName>
    <definedName name="CalChoose">#REF!</definedName>
    <definedName name="CalcOptions">#REF!</definedName>
    <definedName name="CalcTypeIndex">#REF!</definedName>
    <definedName name="CalcTypeOption">#REF!</definedName>
    <definedName name="CalculationType">#REF!</definedName>
    <definedName name="CalibChoice">#REF!</definedName>
    <definedName name="CalibChoices">#REF!</definedName>
    <definedName name="calibopencol">OFFSET([0]!LGMChoice,2,0,[0]!NumLGMChoices,1)</definedName>
    <definedName name="calibopencol1">OFFSET([0]!LGMChoice,2,0,[0]!NumLGMChoices,1)</definedName>
    <definedName name="CalibPoints">#REF!</definedName>
    <definedName name="Calibration">#REF!</definedName>
    <definedName name="CalibrationChoices">#REF!</definedName>
    <definedName name="CalibrationMode">#REF!</definedName>
    <definedName name="CalibrationResults">#REF!</definedName>
    <definedName name="CalibrationType">#REF!</definedName>
    <definedName name="CalibType">#REF!</definedName>
    <definedName name="CaliCell">#REF!</definedName>
    <definedName name="CaliChoice">#REF!</definedName>
    <definedName name="CallPut">#REF!</definedName>
    <definedName name="CallRetYesNo">[3]CollateralMarginCall!$C$14</definedName>
    <definedName name="CallYesNo">#REF!</definedName>
    <definedName name="CallYesNo2">#REF!</definedName>
    <definedName name="CancellableCDSPrem">[2]CancellableCDS!$F$18</definedName>
    <definedName name="CancelOption">[2]CancellableCDS!$F$22</definedName>
    <definedName name="cBasis">#REF!</definedName>
    <definedName name="cBasisIndex">#REF!</definedName>
    <definedName name="CCY">#REF!</definedName>
    <definedName name="CDOCorrel">#REF!</definedName>
    <definedName name="CDODef">#REF!</definedName>
    <definedName name="CDODef2">#REF!</definedName>
    <definedName name="CDOMaturity">[2]CDOPricer!$C$12</definedName>
    <definedName name="CDOPrem">#REF!</definedName>
    <definedName name="CDOPrem2">#REF!</definedName>
    <definedName name="CDOPV">#REF!</definedName>
    <definedName name="CDOPV2">#REF!</definedName>
    <definedName name="CDSCurve">[2]CMDS!$B$15</definedName>
    <definedName name="CDSMarket">#REF!</definedName>
    <definedName name="CDSMaturities">[2]CMDS!$B$16:$B$26</definedName>
    <definedName name="CDSMaturity">[2]SimpleSpreadCDSPricer!$C$15</definedName>
    <definedName name="CDSPrem">Spreadsheet12.2!$C$24</definedName>
    <definedName name="CDSPremium">[2]CancellableCDS!$F$17</definedName>
    <definedName name="CDSPV">#REF!</definedName>
    <definedName name="CDSQuotes">[2]CMDS!$C$16:$C$26</definedName>
    <definedName name="cFreq">#REF!</definedName>
    <definedName name="cFreqIndex">#REF!</definedName>
    <definedName name="CholeskyInverse">#REF!</definedName>
    <definedName name="CholeskyMatrix">#REF!</definedName>
    <definedName name="CleanPrice">'[6]Bond Price with Excel'!$B$23</definedName>
    <definedName name="cMatDate">#REF!</definedName>
    <definedName name="CMDSMaturity">[2]CMDS!$C$12</definedName>
    <definedName name="CntrptyDefProb">[3]CDSCntrptyRisk!$C$14</definedName>
    <definedName name="CntrptyRec" localSheetId="0">Spreadsheet12.1!$C$11</definedName>
    <definedName name="CntrptyRec">[3]CVA!#REF!</definedName>
    <definedName name="CntrptySpread">[3]CDSCntrptyRisk!$C$8</definedName>
    <definedName name="Collateral">#REF!</definedName>
    <definedName name="CollateralChoice">#REF!</definedName>
    <definedName name="CollateralChoices">#REF!</definedName>
    <definedName name="CollateralHeld">[3]CollateralMarginCall!$C$9</definedName>
    <definedName name="CollateralHeld2">#REF!</definedName>
    <definedName name="CollateralisedExposure">#REF!</definedName>
    <definedName name="CollateralMultiplier">#REF!</definedName>
    <definedName name="CollateralRequired">[3]CollateralMarginCall!$C$13</definedName>
    <definedName name="CollateralRequired2">#REF!</definedName>
    <definedName name="CollateralThreshold">#REF!</definedName>
    <definedName name="CollateralType">#REF!</definedName>
    <definedName name="CompoundCorrel">#REF!</definedName>
    <definedName name="ComputCreditPort">#REF!</definedName>
    <definedName name="ConfidenceAlpha">[3]Portfolio!$J$8</definedName>
    <definedName name="Constaints">#REF!</definedName>
    <definedName name="Constant">[5]CoherentRiskMeasuresExample!$I$7</definedName>
    <definedName name="Constr">#REF!</definedName>
    <definedName name="ConstTerm">[9]MonteCarlo!$F$6</definedName>
    <definedName name="CopulaCorrelation">[3]CDSCntrptyRisk!$C$9</definedName>
    <definedName name="CorP">#REF!</definedName>
    <definedName name="Corr">#REF!</definedName>
    <definedName name="CorrectionTerm">'[3]Impact of PV'!$C$22</definedName>
    <definedName name="CORRECTPASSWORD">#REF!</definedName>
    <definedName name="Correl">[1]Spreadsheet8.2!$C$16</definedName>
    <definedName name="Correlation">[1]Spreadsheet8.4!$C$16</definedName>
    <definedName name="Correlation_Matrix_11">#REF!</definedName>
    <definedName name="Correlation2">[1]Spreadsheet8.4!$C$17</definedName>
    <definedName name="CorrelationMatrix">#REF!</definedName>
    <definedName name="CorrelAttach">#REF!</definedName>
    <definedName name="CorrelAttach2">#REF!</definedName>
    <definedName name="CorrelBump">#REF!</definedName>
    <definedName name="CorrelDetach">#REF!</definedName>
    <definedName name="CorrelDetach2">#REF!</definedName>
    <definedName name="CorrelExpColl">#REF!</definedName>
    <definedName name="CorrelLowerTranche">#REF!</definedName>
    <definedName name="CorrelScenario">#REF!</definedName>
    <definedName name="CorrelUpperTranche">#REF!</definedName>
    <definedName name="Countries">#REF!</definedName>
    <definedName name="Country_Key">#REF!</definedName>
    <definedName name="Country_Name">#REF!</definedName>
    <definedName name="Country_Rating">#REF!</definedName>
    <definedName name="Country_Region">#REF!</definedName>
    <definedName name="Coup">[6]YieldExample!$C$4</definedName>
    <definedName name="Coupon">'[6]Bond Price with Excel'!$B$12</definedName>
    <definedName name="CouponsPerYear">'[6]Bond Price with Excel'!$B$15</definedName>
    <definedName name="CovarianceMatrix">#REF!</definedName>
    <definedName name="CovarianceMatrixInverse">[6]MeanVariance!$G$11:$J$14</definedName>
    <definedName name="CPCHOICES">#REF!</definedName>
    <definedName name="cpIndex">#REF!</definedName>
    <definedName name="cRecovery">#REF!</definedName>
    <definedName name="CREDIT_STAMP">"DSPricer"</definedName>
    <definedName name="CreditCurveStart">#REF!</definedName>
    <definedName name="CreditModel">#REF!</definedName>
    <definedName name="CreditModelType">#REF!</definedName>
    <definedName name="CreditTau">#REF!</definedName>
    <definedName name="CreditVol">#REF!</definedName>
    <definedName name="Currency">#REF!</definedName>
    <definedName name="currency_mismatch_penalty">#REF!</definedName>
    <definedName name="CurrentEquity">[4]TradingStrategy!$C$8</definedName>
    <definedName name="CurrentExposure">#REF!</definedName>
    <definedName name="CurrentSpread">[4]TradingStrategy!$C$9</definedName>
    <definedName name="CurrentStock">[4]TreePricer!$C$14</definedName>
    <definedName name="CURVE_INDEX">#REF!</definedName>
    <definedName name="CURVE_LIST">#REF!</definedName>
    <definedName name="CVAApprox">#REF!</definedName>
    <definedName name="DailyVol">#REF!</definedName>
    <definedName name="DailyVol2">#REF!</definedName>
    <definedName name="DailyVolatility">#REF!</definedName>
    <definedName name="DateToday">#REF!</definedName>
    <definedName name="DayCount">'[6]Bond Price with Excel'!#REF!</definedName>
    <definedName name="DaysToLiquidation">#REF!</definedName>
    <definedName name="DealTerm">#REF!</definedName>
    <definedName name="Debt">[10]Merton!$C$17</definedName>
    <definedName name="DebtPerShare">#REF!</definedName>
    <definedName name="DefaultBarrier">#REF!</definedName>
    <definedName name="DefaultLoss">#REF!</definedName>
    <definedName name="DefaultPayoff">'[2]Bond-CDS Basis'!$C$21</definedName>
    <definedName name="DefaultTime">#REF!</definedName>
    <definedName name="DefaultTimes">#REF!</definedName>
    <definedName name="DefComp">#REF!</definedName>
    <definedName name="DefEventLoss">#REF!</definedName>
    <definedName name="DefLegLowerTranche">#REF!</definedName>
    <definedName name="DefLegUpperTranche">#REF!</definedName>
    <definedName name="DefProb">[1]Spreadsheet8.2!$F$13</definedName>
    <definedName name="DefProb1">#REF!</definedName>
    <definedName name="DefProb2">#REF!</definedName>
    <definedName name="DefProb3">#REF!</definedName>
    <definedName name="DefProb4">#REF!</definedName>
    <definedName name="DefProb5">#REF!</definedName>
    <definedName name="DefProbs">OFFSET(#REF!,0,#REF!,#REF!,1)</definedName>
    <definedName name="DefThreshold">#REF!</definedName>
    <definedName name="DefTimesOut">#REF!</definedName>
    <definedName name="delay">#REF!</definedName>
    <definedName name="deliveredvol">[5]HedgingSimulation!$G$8</definedName>
    <definedName name="Delta">#REF!</definedName>
    <definedName name="DeltaApprox2">#REF!</definedName>
    <definedName name="DeltaBump">#REF!</definedName>
    <definedName name="DeltaShift">#REF!</definedName>
    <definedName name="DeltaStart">#REF!</definedName>
    <definedName name="Detach">[2]CDOPricer!$C$18</definedName>
    <definedName name="Detach2">#REF!</definedName>
    <definedName name="DFSCurve">#REF!</definedName>
    <definedName name="DFSSheets">#REF!</definedName>
    <definedName name="DirtyPrice">'[6]Bond Price with Excel'!$B$25</definedName>
    <definedName name="DividendYield">#REF!</definedName>
    <definedName name="DivYield">#REF!</definedName>
    <definedName name="DL">#REF!</definedName>
    <definedName name="DperS">#REF!</definedName>
    <definedName name="dPV">#REF!</definedName>
    <definedName name="Draws">[5]BinomialVsNormal!$C$7</definedName>
    <definedName name="Drift">#REF!</definedName>
    <definedName name="drift2">[5]HedgingSimulation!$G$7</definedName>
    <definedName name="Dt">[9]MonteCarlo!$F$5</definedName>
    <definedName name="DTDays">#REF!</definedName>
    <definedName name="DTMarketPrem">#REF!</definedName>
    <definedName name="Dump">[3]MonteCarlo!$N$2</definedName>
    <definedName name="Duration">'[6]Bond Price with Excel'!$B$27</definedName>
    <definedName name="DurationIndex">#REF!</definedName>
    <definedName name="DVAApprox">#REF!</definedName>
    <definedName name="Dval">[10]CreditGrades!$C$10</definedName>
    <definedName name="EE" localSheetId="0">Spreadsheet12.1!#REF!</definedName>
    <definedName name="EE">#REF!</definedName>
    <definedName name="EL">#REF!</definedName>
    <definedName name="EL_E2">#REF!</definedName>
    <definedName name="ELBaseTranche1">#REF!</definedName>
    <definedName name="ELBaseTranche2">#REF!</definedName>
    <definedName name="end_date">#REF!</definedName>
    <definedName name="EndDate">#REF!</definedName>
    <definedName name="ENE">#REF!</definedName>
    <definedName name="EPE" localSheetId="0">Spreadsheet12.1!$C$16</definedName>
    <definedName name="EPE">#REF!</definedName>
    <definedName name="EPEs">[3]Portfolio!$G$8</definedName>
    <definedName name="Equity">[10]Merton!$C$16</definedName>
    <definedName name="EquityPrice">#REF!</definedName>
    <definedName name="EquityVol">#REF!</definedName>
    <definedName name="Error1">#REF!</definedName>
    <definedName name="Errors">[3]CDSStripper!$H$9</definedName>
    <definedName name="EstBeta">#REF!</definedName>
    <definedName name="EURExpLoss">#REF!</definedName>
    <definedName name="EuropeWeight">#REF!</definedName>
    <definedName name="EuropeWeightOveride">#REF!</definedName>
    <definedName name="ExcessReturn">#REF!</definedName>
    <definedName name="ExchangeNotional">#REF!</definedName>
    <definedName name="ExerciseFreq">#REF!</definedName>
    <definedName name="ExerciseOptions">#REF!</definedName>
    <definedName name="ExerciseType">#REF!</definedName>
    <definedName name="ExerFreqChoice">#REF!</definedName>
    <definedName name="ExerTypeIndex">#REF!</definedName>
    <definedName name="Expiry">#REF!</definedName>
    <definedName name="ExpLoss">#REF!</definedName>
    <definedName name="ExpLoss1">#REF!</definedName>
    <definedName name="ExpLoss2">#REF!</definedName>
    <definedName name="Exposure">#REF!</definedName>
    <definedName name="Exposure2">#REF!</definedName>
    <definedName name="ExposurePaths">#REF!</definedName>
    <definedName name="ExposurePaths2">#REF!</definedName>
    <definedName name="Exposures">[3]Portfolio!$E$8</definedName>
    <definedName name="ExposureStart">#REF!</definedName>
    <definedName name="ExposureVol">[3]CollateralMarginCall!$G$6</definedName>
    <definedName name="ExpRetVector">[6]MeanVariance!$D$3:$D$6</definedName>
    <definedName name="external_costs">#REF!</definedName>
    <definedName name="EXTRAINFO">#REF!</definedName>
    <definedName name="FaceValue">[10]Merton!$C$6</definedName>
    <definedName name="FairCDSPrem">[2]SimpleSpreadCDSPricer!$C$12</definedName>
    <definedName name="FairPremium">#REF!</definedName>
    <definedName name="FFChoice">#REF!</definedName>
    <definedName name="FinalIssCurveRange">OFFSET(#REF!,1,0,#REF!,1)</definedName>
    <definedName name="FinalTotIssCurveRange">#REF!</definedName>
    <definedName name="FirmValue">[10]Merton!$C$7</definedName>
    <definedName name="FirstAnalDelta">#REF!</definedName>
    <definedName name="FirstBondMat">#REF!</definedName>
    <definedName name="FirstCalcDelta">#REF!</definedName>
    <definedName name="FirstDefDate">#REF!</definedName>
    <definedName name="FirstDeltaDispl">#REF!</definedName>
    <definedName name="FirstExerciseDate">#REF!</definedName>
    <definedName name="FirstLiborRate1">#REF!</definedName>
    <definedName name="FirstLiborRate2">#REF!</definedName>
    <definedName name="FirstMaturity">#REF!</definedName>
    <definedName name="FirstMaxLoss">#REF!</definedName>
    <definedName name="FirstMinLoss">#REF!</definedName>
    <definedName name="FirstNotional">#REF!</definedName>
    <definedName name="FirstPrem">#REF!</definedName>
    <definedName name="FirstQCDDelta">[12]CDO!#REF!</definedName>
    <definedName name="FirstRho">#REF!</definedName>
    <definedName name="FirstSeed">#REF!</definedName>
    <definedName name="FirstSeeed">#REF!</definedName>
    <definedName name="FirstSwapDate">#REF!</definedName>
    <definedName name="FirstTenor">#REF!</definedName>
    <definedName name="FirstToDefault">#REF!</definedName>
    <definedName name="FitCorrmat">#REF!</definedName>
    <definedName name="Fixed_Rate">#REF!</definedName>
    <definedName name="FixedBasis">#REF!</definedName>
    <definedName name="FixedFreq">#REF!</definedName>
    <definedName name="FixedOrFloat">#REF!</definedName>
    <definedName name="FixedOrNot">#REF!</definedName>
    <definedName name="FlaotRefRateChoiceIndex">#REF!</definedName>
    <definedName name="FloatBasis">#REF!</definedName>
    <definedName name="FloatFreq">#REF!</definedName>
    <definedName name="FloatRate">#REF!</definedName>
    <definedName name="FloatRefRateChoice">#REF!</definedName>
    <definedName name="FloatRefRateChoiceIndex">#REF!</definedName>
    <definedName name="Floor">#REF!</definedName>
    <definedName name="Freq">#REF!</definedName>
    <definedName name="Freq1">#REF!</definedName>
    <definedName name="Freq2">#REF!</definedName>
    <definedName name="FreqChoices">#REF!</definedName>
    <definedName name="FreqIndex">#REF!</definedName>
    <definedName name="FreqTable1">#REF!</definedName>
    <definedName name="FreqTable2">#REF!</definedName>
    <definedName name="FVMDef">#REF!</definedName>
    <definedName name="FVMMarketPrem">#REF!</definedName>
    <definedName name="FVMPrem">#REF!</definedName>
    <definedName name="FVMPV">#REF!</definedName>
    <definedName name="FVMResults">#REF!</definedName>
    <definedName name="Fwd">[1]Spreadsheet8.2!$F$10</definedName>
    <definedName name="FXVol">#REF!</definedName>
    <definedName name="Gamma">[6]MeanVariance!$O$23</definedName>
    <definedName name="gamma2">[6]MeanVariance!$C$32</definedName>
    <definedName name="GaussC">[2]CDOPricer!$Q$14</definedName>
    <definedName name="GI">#REF!</definedName>
    <definedName name="Global_Local">#REF!</definedName>
    <definedName name="GlobalRec">[2]CDOPricer!$C$11</definedName>
    <definedName name="Gone">#REF!</definedName>
    <definedName name="Greeks">#REF!</definedName>
    <definedName name="GuessYield">[6]YieldExample!$C$3</definedName>
    <definedName name="HazardRae">[13]Survival!#REF!</definedName>
    <definedName name="HazardRage">[13]Survival!#REF!</definedName>
    <definedName name="HazardRate">[1]Spreadsheet8.4!#REF!</definedName>
    <definedName name="HazardRate1">Spreadsheet12.1!$Q$24</definedName>
    <definedName name="HazardRate2">Spreadsheet12.1!$Q$25</definedName>
    <definedName name="HazardRate3">Spreadsheet12.1!$Q$26</definedName>
    <definedName name="HazardRate4">Spreadsheet12.1!$Q$27</definedName>
    <definedName name="HazardRate5">Spreadsheet12.1!$Q$28</definedName>
    <definedName name="HazardRates">[3]CDSStripper!$C$9</definedName>
    <definedName name="HedgeAmount">[4]TradingStrategy!$C$10</definedName>
    <definedName name="HedgingFreq">#REF!</definedName>
    <definedName name="HistHigh">#REF!</definedName>
    <definedName name="HistLow">#REF!</definedName>
    <definedName name="Histogram1Output">#REF!</definedName>
    <definedName name="Histogram2Output">#REF!</definedName>
    <definedName name="HistoricalError">#REF!</definedName>
    <definedName name="HistStart">#REF!</definedName>
    <definedName name="HistWeight">#REF!</definedName>
    <definedName name="HR">[2]CancellableCDS!#REF!</definedName>
    <definedName name="IA">[7]CollateralMarginCall!#REF!</definedName>
    <definedName name="ImpliedVolatility">[5]HedgingSimulation!$C$10</definedName>
    <definedName name="IndependentAmount">[3]CollateralMarginCall!$C$7</definedName>
    <definedName name="IndependentAmount2">[3]CollateralMarginCall!$D$7</definedName>
    <definedName name="Index">#REF!</definedName>
    <definedName name="IndexELEur">#REF!</definedName>
    <definedName name="IndexELUS">#REF!</definedName>
    <definedName name="IndexExpLossEUR">#REF!</definedName>
    <definedName name="IndexExpLossUS">#REF!</definedName>
    <definedName name="IndexLevels">#REF!</definedName>
    <definedName name="IndexPV">#REF!</definedName>
    <definedName name="IndexRiskyLevel">#REF!</definedName>
    <definedName name="IndexStart">#REF!</definedName>
    <definedName name="Industry_Description">#REF!</definedName>
    <definedName name="Industry_Lookup_Table">#REF!</definedName>
    <definedName name="Industry_Number">#REF!</definedName>
    <definedName name="InitialCollateral">#REF!</definedName>
    <definedName name="InitialExposure">#REF!</definedName>
    <definedName name="InitialPV">'[14]Sheet1 (2)'!$D$4</definedName>
    <definedName name="INST_TYPE">#REF!</definedName>
    <definedName name="InstitutionRecovery">#REF!</definedName>
    <definedName name="InstName">#REF!</definedName>
    <definedName name="IntegrationPoints">[2]CDOPricer!$C$15</definedName>
    <definedName name="IntegrationPoints2">#REF!</definedName>
    <definedName name="Intensity">#REF!</definedName>
    <definedName name="IntensityCntrpty" localSheetId="0">Spreadsheet12.1!$J$14</definedName>
    <definedName name="IntensityCntrpty">[3]CVA!$D$8</definedName>
    <definedName name="IntensitySystemic">[3]CVA!#REF!</definedName>
    <definedName name="IntensityUs">[3]CVA!#REF!</definedName>
    <definedName name="InterCorrel">[12]CDO!#REF!</definedName>
    <definedName name="Interest_Rate">[2]CDOPricer!$C$14</definedName>
    <definedName name="InterestR">[4]TreePricer!$C$18</definedName>
    <definedName name="InterestRate">'[2]Bond-CDS Basis'!$C$11</definedName>
    <definedName name="InterestRateNow">#REF!</definedName>
    <definedName name="InterpType">[15]BaseCorrelation!$C$16</definedName>
    <definedName name="Interval">#REF!</definedName>
    <definedName name="IntPoints">#REF!</definedName>
    <definedName name="IntRate">[1]Spreadsheet8.2!$C$14</definedName>
    <definedName name="iNumUnderlyings">#REF!</definedName>
    <definedName name="IR">[5]OptionPricer!$C$9</definedName>
    <definedName name="IRate" localSheetId="0">Spreadsheet12.1!$C$12</definedName>
    <definedName name="IRate">[3]CVA!$C$13</definedName>
    <definedName name="IRate1">Spreadsheet12.2!$C$16</definedName>
    <definedName name="IRate2">Spreadsheet12.2!$C$17</definedName>
    <definedName name="IRate3">Spreadsheet12.2!$C$18</definedName>
    <definedName name="IRate4">Spreadsheet12.2!$C$19</definedName>
    <definedName name="IRate5">Spreadsheet12.2!$C$20</definedName>
    <definedName name="IRMC">[9]MonteCarlo!$C$5</definedName>
    <definedName name="IRModel">#REF!</definedName>
    <definedName name="IRModelType">#REF!</definedName>
    <definedName name="IRTau">#REF!</definedName>
    <definedName name="IRVol">#REF!</definedName>
    <definedName name="IssCurveRangeCopy">OFFSET(#REF!,1+#REF!,0,#REF!,1)</definedName>
    <definedName name="ISSUE_DATE">#REF!</definedName>
    <definedName name="ISSUER">#REF!</definedName>
    <definedName name="Issuer_Curve_cell">#REF!</definedName>
    <definedName name="ISSUER_INDEX">#REF!</definedName>
    <definedName name="ISSUER_LIST">#REF!</definedName>
    <definedName name="ISSUER_MAPPINGS">#REF!</definedName>
    <definedName name="IssuerCurves">OFFSET(#REF!,0,0,#REF!,1)</definedName>
    <definedName name="iter">#REF!</definedName>
    <definedName name="JumpFreq">#REF!</definedName>
    <definedName name="JumpSize">#REF!</definedName>
    <definedName name="Knockout">#REF!</definedName>
    <definedName name="Knockout2">#REF!</definedName>
    <definedName name="kurtosis">#REF!</definedName>
    <definedName name="Label">#REF!</definedName>
    <definedName name="Lamba">[10]CreditGrades!$C$8</definedName>
    <definedName name="lambda">#REF!</definedName>
    <definedName name="lamda">#REF!</definedName>
    <definedName name="lamda2">[5]ExponentialDampingEstimate!$C$6</definedName>
    <definedName name="lamda3">[5]ExponentialDampingEstimate!$C$6</definedName>
    <definedName name="LASTCPN_RATE">#REF!</definedName>
    <definedName name="LastExerciseDate">#REF!</definedName>
    <definedName name="Lbar">[10]CreditGrades!$C$7</definedName>
    <definedName name="LengthBCCurve">#REF!</definedName>
    <definedName name="LengthBCEur">#REF!</definedName>
    <definedName name="LengthBCUS">#REF!</definedName>
    <definedName name="Leverage">#REF!</definedName>
    <definedName name="LGD">[11]BaselIIFormula!$D$8</definedName>
    <definedName name="LGM_STAMP">"LGM"</definedName>
    <definedName name="LGMChoice">#REF!</definedName>
    <definedName name="LGMopencol">OFFSET([0]!LGMChoice,2,0,[0]!NumLGMChoices,1)</definedName>
    <definedName name="LiborRateChoice">#REF!</definedName>
    <definedName name="LiborRateCol">OFFSET(#REF!,0,0,#REF!,1)</definedName>
    <definedName name="LiborRateCol1">OFFSET(#REF!,0,0,#REF!,1)</definedName>
    <definedName name="littled">[10]CreditGrades!$C$16</definedName>
    <definedName name="LOAD_MKT">#REF!</definedName>
    <definedName name="LookUnderlying">#REF!</definedName>
    <definedName name="LossBins">#REF!</definedName>
    <definedName name="LossGivenDefault">[10]Merton!$C$25</definedName>
    <definedName name="LossonLiquidation">#REF!</definedName>
    <definedName name="Lower">[8]SimpleIntegration!$C$2</definedName>
    <definedName name="LowerBaseTrancheAttach">#REF!</definedName>
    <definedName name="LowerTrancheEURCorrel">#REF!</definedName>
    <definedName name="LowerTrancheUSCorrel">#REF!</definedName>
    <definedName name="LTBorrowings">#REF!</definedName>
    <definedName name="LTMean">#REF!</definedName>
    <definedName name="MAN_IP">#REF!</definedName>
    <definedName name="MAN_MKT">#REF!</definedName>
    <definedName name="ManualMarket">#REF!</definedName>
    <definedName name="Mapset">#REF!</definedName>
    <definedName name="Mapsets_count_cell">#REF!</definedName>
    <definedName name="MargEPE">'[3]Impact of PV'!$C$19</definedName>
    <definedName name="MargEPE1">[3]EPEAllocation!$C$22</definedName>
    <definedName name="MargEPE2">[3]EPEAllocation!$D$22</definedName>
    <definedName name="MargPayoff">[2]CDOPricer!$L$14</definedName>
    <definedName name="Market">#REF!</definedName>
    <definedName name="MarketChoice">#REF!</definedName>
    <definedName name="MarketChoiceCell">#REF!</definedName>
    <definedName name="marketcountcol">#REF!</definedName>
    <definedName name="MarketId">#REF!</definedName>
    <definedName name="MarketPrem">#REF!</definedName>
    <definedName name="MarketSheet">#REF!</definedName>
    <definedName name="Mat">[10]CreditGrades!$C$11</definedName>
    <definedName name="MatDate">#REF!</definedName>
    <definedName name="Maturity">[1]Spreadsheet8.2!$C$13</definedName>
    <definedName name="Maturity_11">#REF!</definedName>
    <definedName name="maturity_mismatch_penalty">#REF!</definedName>
    <definedName name="Maturity2">#REF!</definedName>
    <definedName name="MaturityDate">'[6]Bond Price with Excel'!$B$16</definedName>
    <definedName name="MaturityMC">[9]MonteCarlo!$C$6</definedName>
    <definedName name="MaxBinLoss">#REF!</definedName>
    <definedName name="MaxDefaults">#REF!</definedName>
    <definedName name="MaxLossStart">#REF!</definedName>
    <definedName name="MCDefLeg">[2]CDOPricer!$C$22</definedName>
    <definedName name="MCorTree">#REF!</definedName>
    <definedName name="MCOutput">[3]MonteCarlo!$J$8</definedName>
    <definedName name="MCPaths">[3]CollateralMarginCall!$G$9</definedName>
    <definedName name="MCPremLeg">[2]CDOPricer!$C$23</definedName>
    <definedName name="MCSims">[3]MonteCarlo!$C$8</definedName>
    <definedName name="Mean">#REF!</definedName>
    <definedName name="Mean1">[8]SimpleCovarianceWithWeights!$C$6</definedName>
    <definedName name="Mean2">[8]SimpleCovarianceWithWeights!$C$7</definedName>
    <definedName name="MeanExposure">[3]Netting!$D$8</definedName>
    <definedName name="MeanReturn">#REF!</definedName>
    <definedName name="MeanRev">#REF!</definedName>
    <definedName name="MertonMaturity">[15]Merton!$C$13</definedName>
    <definedName name="MinAmountInput">#REF!</definedName>
    <definedName name="MinDefaults">#REF!</definedName>
    <definedName name="MinimumTransferAmount">[3]CollateralMarginCall!$C$10</definedName>
    <definedName name="MinimumTransferAmount2">[3]CollateralMarginCall!$D$10</definedName>
    <definedName name="MinLossStart">#REF!</definedName>
    <definedName name="MinorityInterest">#REF!</definedName>
    <definedName name="MKT">#REF!</definedName>
    <definedName name="mktid">#REF!</definedName>
    <definedName name="MktPriceCell">#REF!</definedName>
    <definedName name="MnL">#REF!</definedName>
    <definedName name="ModelChoiceInt">#REF!</definedName>
    <definedName name="ModelNameMod">#REF!</definedName>
    <definedName name="ModifiedDuration">'[6]Bond Price with Excel'!#REF!</definedName>
    <definedName name="MTMVals">[2]ImpliedDefProb!$K$11</definedName>
    <definedName name="Mu" localSheetId="0">Spreadsheet12.1!$D$11</definedName>
    <definedName name="Mu">#REF!</definedName>
    <definedName name="mu1a">[5]TwoAssetsEfficientFrontier!$C$7</definedName>
    <definedName name="mu2a">[5]TwoAssetsEfficientFrontier!$C$8</definedName>
    <definedName name="Mult1">[3]EPEAllocation!$H$7</definedName>
    <definedName name="Mult2">[3]EPEAllocation!$I$7</definedName>
    <definedName name="Multiplier">[5]CoherentRiskMeasuresExample!$I$8</definedName>
    <definedName name="MxL">#REF!</definedName>
    <definedName name="NAME">#REF!</definedName>
    <definedName name="NameInDef">#REF!</definedName>
    <definedName name="NbBond">#REF!</definedName>
    <definedName name="NbParam">#REF!</definedName>
    <definedName name="NbPoints">#REF!</definedName>
    <definedName name="NewEstimate">[3]CDSStripper!$L$10</definedName>
    <definedName name="NextCouponDate">'[6]Bond Price with Excel'!$B$19</definedName>
    <definedName name="non_utilisation_relief">#REF!</definedName>
    <definedName name="Notional">#REF!</definedName>
    <definedName name="Notional_11">#REF!</definedName>
    <definedName name="Notionals">#REF!</definedName>
    <definedName name="NUM_CURVES">#REF!</definedName>
    <definedName name="NUM_ISSUERS">#REF!</definedName>
    <definedName name="NUM_MAPPINGS">#REF!</definedName>
    <definedName name="NUM_QUOTES">#REF!</definedName>
    <definedName name="NumBonds">#REF!</definedName>
    <definedName name="NumCalibInstruments">#REF!</definedName>
    <definedName name="NumCalls">#REF!</definedName>
    <definedName name="NumCoupons">#REF!</definedName>
    <definedName name="NumDeltas">#REF!</definedName>
    <definedName name="NumExercises">#REF!</definedName>
    <definedName name="NumFactors">#REF!</definedName>
    <definedName name="NumFloatCoupons">#REF!</definedName>
    <definedName name="NumInstruments">#REF!</definedName>
    <definedName name="NumLGMChoices">#REF!</definedName>
    <definedName name="NumMarketChoices">#REF!</definedName>
    <definedName name="NumNames">[2]CDOPricer!$C$13</definedName>
    <definedName name="NumNames2">#REF!</definedName>
    <definedName name="NumPremiums">#REF!</definedName>
    <definedName name="NumRatings">#REF!</definedName>
    <definedName name="NumRefRateChoices">#REF!</definedName>
    <definedName name="NumReqTnors">#REF!</definedName>
    <definedName name="NumSims">#REF!</definedName>
    <definedName name="NumSimulations">[2]CDOPricer!$C$19</definedName>
    <definedName name="NumSteps">[4]TreePricer!$C$10</definedName>
    <definedName name="NumTenors">#REF!</definedName>
    <definedName name="NumTranches">#REF!</definedName>
    <definedName name="NumUnderlyings">#REF!</definedName>
    <definedName name="Obligor_Group">#REF!</definedName>
    <definedName name="Obligor_Location">#REF!</definedName>
    <definedName name="Obligor_Name">#REF!</definedName>
    <definedName name="OFFER">#REF!</definedName>
    <definedName name="OptComp">#REF!</definedName>
    <definedName name="OptionData">[4]OptionPriceTree!$A$1</definedName>
    <definedName name="OptionDelta">#REF!</definedName>
    <definedName name="OptionDeltaApprox">#REF!</definedName>
    <definedName name="OptionImpVol">#REF!</definedName>
    <definedName name="OptionIR">#REF!</definedName>
    <definedName name="OptionMaturity">[2]CancellableCDS!$C$12</definedName>
    <definedName name="OptionPayoff">[4]TreePricer!$C$9</definedName>
    <definedName name="OptionPrem">#REF!</definedName>
    <definedName name="OptionPrice">[4]TreePricer!$C$22</definedName>
    <definedName name="OptionPVMC">#REF!</definedName>
    <definedName name="OptionSpot">#REF!</definedName>
    <definedName name="OptionStrike">#REF!</definedName>
    <definedName name="OptionType">#REF!</definedName>
    <definedName name="OptionTypeCell">#REF!</definedName>
    <definedName name="OptionValue">#REF!</definedName>
    <definedName name="Original_Obl_Loc">#REF!</definedName>
    <definedName name="OtherLTLiab">#REF!</definedName>
    <definedName name="OtherSTLIab">#REF!</definedName>
    <definedName name="Output">'[3]Impact of PV'!$B$25</definedName>
    <definedName name="OutputGI">#REF!</definedName>
    <definedName name="OverwriteBaseCorrel">#REF!</definedName>
    <definedName name="Param">[7]MonteCarlo!#REF!</definedName>
    <definedName name="Param1">[7]MonteCarlo!#REF!</definedName>
    <definedName name="Param2">#REF!</definedName>
    <definedName name="PASSWORD">#REF!</definedName>
    <definedName name="PayDateCell">#REF!</definedName>
    <definedName name="PayFrac">Spreadsheet12.2!$D$12</definedName>
    <definedName name="PayFreq">Spreadsheet12.2!$C$12</definedName>
    <definedName name="Payoff">[2]CDOPricer!$K$14</definedName>
    <definedName name="PayoffRef">#REF!</definedName>
    <definedName name="Payoffs">OFFSET(#REF!,0,0,#REF!,1)</definedName>
    <definedName name="PayRec">Spreadsheet12.2!$C$11</definedName>
    <definedName name="Percentile">[5]CoherentRiskMeasuresExample!$I$9</definedName>
    <definedName name="PercPriceImpact">#REF!</definedName>
    <definedName name="PFE" localSheetId="0">Spreadsheet12.1!$C$17</definedName>
    <definedName name="PFE">#REF!</definedName>
    <definedName name="Points">[8]SimpleIntegration!$C$4</definedName>
    <definedName name="PortExpLoss">#REF!</definedName>
    <definedName name="PortfolioMTM">[3]CollateralMarginCall!$C$6</definedName>
    <definedName name="Positions">#REF!</definedName>
    <definedName name="PostInterval">[3]CollateralMarginCall!$G$7</definedName>
    <definedName name="PreferredEquity">#REF!</definedName>
    <definedName name="Prem1">#REF!</definedName>
    <definedName name="Prem2">#REF!</definedName>
    <definedName name="PremComp">#REF!</definedName>
    <definedName name="Premium">#REF!</definedName>
    <definedName name="PremiumDateCell">#REF!</definedName>
    <definedName name="PremiumModel">#REF!</definedName>
    <definedName name="PremiumPaid">#REF!</definedName>
    <definedName name="PremiumPaid2">#REF!</definedName>
    <definedName name="PremiumStart">#REF!</definedName>
    <definedName name="PremLeg2">#REF!</definedName>
    <definedName name="Price">[6]YieldExample!$C$2</definedName>
    <definedName name="PrincingError">#REF!</definedName>
    <definedName name="Prob">[5]BinomialVsNormal!$C$6</definedName>
    <definedName name="ProductType">#REF!</definedName>
    <definedName name="PVDef">#REF!</definedName>
    <definedName name="PVDef2">#REF!</definedName>
    <definedName name="PVPrem">#REF!</definedName>
    <definedName name="PVPrem2">#REF!</definedName>
    <definedName name="Quantile">#REF!</definedName>
    <definedName name="QuantoMkt">#REF!</definedName>
    <definedName name="RandomNumberRange">#REF!</definedName>
    <definedName name="RandomNumbers">#REF!</definedName>
    <definedName name="RanNums">[16]RandomNumbers!$B$4</definedName>
    <definedName name="RanNums2">[16]RandomNumbers!$H$4</definedName>
    <definedName name="rate">'[17]Class Problems'!$H$39</definedName>
    <definedName name="Rate2">#REF!</definedName>
    <definedName name="Rating">#REF!</definedName>
    <definedName name="Rating_11">#REF!</definedName>
    <definedName name="RatingT1">#REF!</definedName>
    <definedName name="RatingT2">#REF!</definedName>
    <definedName name="RatingT3">#REF!</definedName>
    <definedName name="RatingTable">#REF!</definedName>
    <definedName name="RBasis">#REF!</definedName>
    <definedName name="RBondStrike">#REF!</definedName>
    <definedName name="RCalibWeight">#REF!</definedName>
    <definedName name="Rec">#REF!</definedName>
    <definedName name="RecCntrpty">[1]Spreadsheet8.4!$C$14</definedName>
    <definedName name="RecFrac">Spreadsheet12.2!$D$13</definedName>
    <definedName name="RecFreq">Spreadsheet12.2!$C$13</definedName>
    <definedName name="RecInstitution">[1]Spreadsheet8.4!$C$15</definedName>
    <definedName name="Recovery">Spreadsheet12.2!$C$25</definedName>
    <definedName name="Recovery_Pricing">#REF!</definedName>
    <definedName name="Recovery_Stripping">#REF!</definedName>
    <definedName name="Recovery2">#REF!</definedName>
    <definedName name="RecoveryPercent">[10]Merton!$C$24</definedName>
    <definedName name="RecoveryR">#REF!</definedName>
    <definedName name="RecoveryRate">[2]BasketMC!$C$11</definedName>
    <definedName name="recovrate">#REF!</definedName>
    <definedName name="RecovRate_11">#REF!</definedName>
    <definedName name="RecPayCell">#REF!</definedName>
    <definedName name="RecRate">[2]SimpleSpreadCDSPricer!$C$14</definedName>
    <definedName name="Redemption">'[6]Bond Price with Excel'!$B$58</definedName>
    <definedName name="ref_currency">#REF!</definedName>
    <definedName name="RefDefProb">[3]CDSCntrptyRisk!$C$13</definedName>
    <definedName name="RefRate">#REF!</definedName>
    <definedName name="RefRateCell">#REF!</definedName>
    <definedName name="RefRateChoiceCell">#REF!</definedName>
    <definedName name="RefRec">#REF!</definedName>
    <definedName name="Region">#REF!</definedName>
    <definedName name="repoCurve">#REF!</definedName>
    <definedName name="ReqCorrMat">#REF!</definedName>
    <definedName name="RescaleEL">#REF!</definedName>
    <definedName name="RescaleRatio">#REF!</definedName>
    <definedName name="Reserve">#REF!</definedName>
    <definedName name="result_11">#REF!</definedName>
    <definedName name="Result1">[3]CVA!$J$6</definedName>
    <definedName name="Result2">[3]CVA!$K$6</definedName>
    <definedName name="Results">#REF!</definedName>
    <definedName name="RetPV">#REF!</definedName>
    <definedName name="RetPV2">#REF!</definedName>
    <definedName name="Return">#REF!</definedName>
    <definedName name="RExerFrontierBounds">OFFSET([0]!ExerRatesBoundsTopCell,0,0,[0]!NumExercises,1)</definedName>
    <definedName name="RFwdVols">OFFSET([0]!FwdVolRangeTopCell,0,0,[0]!NumExercises,[0]!NumExercises)</definedName>
    <definedName name="rho">#REF!</definedName>
    <definedName name="Rhos">#REF!</definedName>
    <definedName name="RhoTerm">#REF!</definedName>
    <definedName name="RISKY_MARKET">#REF!</definedName>
    <definedName name="RiskyAnnuity">[2]SimpleSpreadCDSPricer!$C$19</definedName>
    <definedName name="RiskyInsDef">#REF!</definedName>
    <definedName name="RiskyInsParRate">#REF!</definedName>
    <definedName name="RiskyInsPrem">#REF!</definedName>
    <definedName name="RiskyInsPV">#REF!</definedName>
    <definedName name="RiskyLevel">#REF!</definedName>
    <definedName name="RiskyLevels">#REF!</definedName>
    <definedName name="RiskyMarket">#REF!</definedName>
    <definedName name="RL">#REF!</definedName>
    <definedName name="RLBaseTranche1">#REF!</definedName>
    <definedName name="RLBaseTranche2">#REF!</definedName>
    <definedName name="RLevel">[11]BlackModel!$D$10</definedName>
    <definedName name="RLevel2">#REF!</definedName>
    <definedName name="Rounding">[3]CollateralMarginCall!$C$11</definedName>
    <definedName name="Rounding2">#REF!</definedName>
    <definedName name="sA">[6]MeanVariance!$O$17</definedName>
    <definedName name="sB">[6]MeanVariance!$O$18</definedName>
    <definedName name="sC">[6]MeanVariance!$O$19</definedName>
    <definedName name="ScenarioOutput">#REF!</definedName>
    <definedName name="Scenarios">#REF!</definedName>
    <definedName name="sD">[6]MeanVariance!$O$20</definedName>
    <definedName name="secondcurrency">#REF!</definedName>
    <definedName name="Seed">[3]MonteCarlo!$C$9</definedName>
    <definedName name="Seed2">[3]CollateralMarginCall!$G$8</definedName>
    <definedName name="SET_DATE">#REF!</definedName>
    <definedName name="SettleDate">'[6]Bond Price with Excel'!$B$14</definedName>
    <definedName name="SharesOutstanding">#REF!</definedName>
    <definedName name="ShiftAmount">#REF!</definedName>
    <definedName name="ShowPath">#REF!</definedName>
    <definedName name="ShowPaths">[4]TreePricer!$C$11</definedName>
    <definedName name="Sigma" localSheetId="0">Spreadsheet12.1!$C$12</definedName>
    <definedName name="Sigma">#REF!</definedName>
    <definedName name="sigma1">#REF!</definedName>
    <definedName name="sigma2">#REF!</definedName>
    <definedName name="Sigma3">#REF!</definedName>
    <definedName name="SigmaVector">[6]MeanVariance!$E$3:$E$6</definedName>
    <definedName name="SigmaVolume">#REF!</definedName>
    <definedName name="SimCount">[2]CDOPricer!$K$11</definedName>
    <definedName name="Sims">[9]MonteCarlo!$F$4</definedName>
    <definedName name="SimulationResults">[4]HedgingSimulation!$R$4</definedName>
    <definedName name="Simulations">#REF!</definedName>
    <definedName name="SizeCouponSchedule">#REF!</definedName>
    <definedName name="SOURCE">#REF!</definedName>
    <definedName name="SourceCell">#REF!</definedName>
    <definedName name="SplinePointsa">#REF!</definedName>
    <definedName name="Spot">[1]Spreadsheet8.2!$C$10</definedName>
    <definedName name="SprdInstitution">[1]Spreadsheet8.4!$C$13</definedName>
    <definedName name="Spread">#REF!</definedName>
    <definedName name="SpreadAgent">[7]CVA!#REF!</definedName>
    <definedName name="SpreadCntrpty" localSheetId="0">Spreadsheet12.1!$C$15</definedName>
    <definedName name="SpreadCntrpty">[1]Spreadsheet8.4!$C$12</definedName>
    <definedName name="SpreadInstitution">#REF!</definedName>
    <definedName name="SpreadLowerTranche">#REF!</definedName>
    <definedName name="SpreadMulti">#REF!</definedName>
    <definedName name="SpreadRef">[3]CDSCntrptyRisk!$C$7</definedName>
    <definedName name="SpreadScenario">#REF!</definedName>
    <definedName name="SpreadSys">[7]CVA!#REF!</definedName>
    <definedName name="SpreadUpperTranche">#REF!</definedName>
    <definedName name="SQrtTerm">#REF!</definedName>
    <definedName name="Sstar">[10]CreditGrades!$C$6</definedName>
    <definedName name="start_date">#REF!</definedName>
    <definedName name="StartCopyCell">#REF!</definedName>
    <definedName name="StartCouponSchedule">#REF!</definedName>
    <definedName name="Starting_Point">#REF!</definedName>
    <definedName name="STBorrowings">#REF!</definedName>
    <definedName name="StdDev">#REF!</definedName>
    <definedName name="StdDevExposure">[3]Netting!$D$9</definedName>
    <definedName name="StdExposures">[3]Portfolio!$F$8</definedName>
    <definedName name="Steps">[9]MonteCarlo!$F$3</definedName>
    <definedName name="StepSize">#REF!</definedName>
    <definedName name="StepsPerHedge">#REF!</definedName>
    <definedName name="Stock">[5]OptionPricer!$C$7</definedName>
    <definedName name="StockData">[4]UnderlyingValueTree!$A$1</definedName>
    <definedName name="StockPrice">#REF!</definedName>
    <definedName name="StockVol">[4]CreditGrades!$C$9</definedName>
    <definedName name="Strike">[1]Spreadsheet8.2!$C$11</definedName>
    <definedName name="StrikeMC">[9]MonteCarlo!$C$4</definedName>
    <definedName name="SttDev">#REF!</definedName>
    <definedName name="Study_Period">#REF!</definedName>
    <definedName name="SurvProb">[18]BlackModel!#REF!</definedName>
    <definedName name="SVol">[10]CreditGrades!$C$9</definedName>
    <definedName name="SwapChoices">#REF!</definedName>
    <definedName name="SwapChoices3">#REF!</definedName>
    <definedName name="SwapPayments">#REF!</definedName>
    <definedName name="SwapRate">Spreadsheet12.2!$C$10</definedName>
    <definedName name="SwapRateVol">Spreadsheet12.2!$C$23</definedName>
    <definedName name="SwapType">#REF!</definedName>
    <definedName name="TargetReturn">[6]MeanVariance!$J$18</definedName>
    <definedName name="TargetSpread">#REF!</definedName>
    <definedName name="TargSpread">#REF!</definedName>
    <definedName name="Tau">#REF!</definedName>
    <definedName name="TENOR">#REF!</definedName>
    <definedName name="Tenors">#REF!</definedName>
    <definedName name="TenorToShift">#REF!</definedName>
    <definedName name="TenYearFactor">#REF!</definedName>
    <definedName name="term">#REF!</definedName>
    <definedName name="ThisDefLeg">[2]CDOPricer!$G$11</definedName>
    <definedName name="ThisMaturity">#REF!</definedName>
    <definedName name="ThisPremLeg">[2]CDOPricer!$G$12</definedName>
    <definedName name="Threshold">[1]Spreadsheet8.2!$F$14</definedName>
    <definedName name="Threshold1">#REF!</definedName>
    <definedName name="Threshold2">[3]CollateralMarginCall!$D$8</definedName>
    <definedName name="Threshold3">#REF!</definedName>
    <definedName name="Threshold4">#REF!</definedName>
    <definedName name="Threshold5">#REF!</definedName>
    <definedName name="ThresholdInput">#REF!</definedName>
    <definedName name="Thresholds">[3]Portfolio!$D$8</definedName>
    <definedName name="Ticker">#REF!</definedName>
    <definedName name="tier_one_ratio">#REF!</definedName>
    <definedName name="Time">#REF!</definedName>
    <definedName name="Time2">#REF!</definedName>
    <definedName name="TimeHorizon">#REF!</definedName>
    <definedName name="TimeIntPoints">#REF!</definedName>
    <definedName name="timestep">[5]HedgingSimulation!$G$9</definedName>
    <definedName name="tmat">#REF!</definedName>
    <definedName name="tmat2">#REF!</definedName>
    <definedName name="tmat3">#REF!</definedName>
    <definedName name="tmat4">#REF!</definedName>
    <definedName name="TMTopLeft">#REF!</definedName>
    <definedName name="TODAY">#REF!</definedName>
    <definedName name="Total_Facilities">#REF!</definedName>
    <definedName name="TotalCommonEquity">#REF!</definedName>
    <definedName name="TotalExposure">[3]CollateralMarginCall!$C$12</definedName>
    <definedName name="TotalMargEPE">[3]EPEAllocation!$C$23</definedName>
    <definedName name="TotalNot">#REF!</definedName>
    <definedName name="TotalPnL">[4]HedgingSimulation!$L$10</definedName>
    <definedName name="TotalPV">#REF!</definedName>
    <definedName name="TotalRequiredCollateralisation2">#REF!</definedName>
    <definedName name="TotalRequiredCollaterlisation">#REF!</definedName>
    <definedName name="TotIssCurveRange">#REF!</definedName>
    <definedName name="TotZeroCurveRange">#REF!</definedName>
    <definedName name="TrancheDefLeg">#REF!</definedName>
    <definedName name="TrancheEL">#REF!</definedName>
    <definedName name="TrancheNot">#REF!</definedName>
    <definedName name="TrancheNotional">#REF!</definedName>
    <definedName name="TranchePremiums">#REF!</definedName>
    <definedName name="TranchePremLeg">#REF!</definedName>
    <definedName name="TrancheRL">#REF!</definedName>
    <definedName name="transaction_notional_Amont">#REF!</definedName>
    <definedName name="Transition_Matrix">#REF!</definedName>
    <definedName name="TreeStep">#REF!</definedName>
    <definedName name="type">#REF!</definedName>
    <definedName name="typeasset">#REF!</definedName>
    <definedName name="TypeChoices">#REF!</definedName>
    <definedName name="typeIndex">#REF!</definedName>
    <definedName name="Typeofswap">#REF!</definedName>
    <definedName name="U1CMT">#REF!</definedName>
    <definedName name="Uncertainty_of_Barrier">#REF!</definedName>
    <definedName name="UnitVector">[6]MeanVariance!$L$3:$L$6</definedName>
    <definedName name="Unwind">#REF!</definedName>
    <definedName name="UnwindCost">#REF!</definedName>
    <definedName name="Upper">[8]SimpleIntegration!$C$3</definedName>
    <definedName name="UpperBaseTrancheAttach">#REF!</definedName>
    <definedName name="UpperTrancheEURCorrel">#REF!</definedName>
    <definedName name="UpperTrancheUSCorrel">#REF!</definedName>
    <definedName name="UseApprox">[2]ImpliedDefProb!$C$14</definedName>
    <definedName name="UseCouponSchedule">#REF!</definedName>
    <definedName name="UseMigrationLoss">#REF!</definedName>
    <definedName name="USExpLoss">#REF!</definedName>
    <definedName name="Val1A">[7]CVA!#REF!</definedName>
    <definedName name="Val2A">[3]CVA!$I$4</definedName>
    <definedName name="Val3A">[3]CVA!$I$5</definedName>
    <definedName name="ValueDate">#REF!</definedName>
    <definedName name="VaR">#REF!</definedName>
    <definedName name="Variables">#REF!</definedName>
    <definedName name="Variance">#REF!</definedName>
    <definedName name="VarianceBarrier">#REF!</definedName>
    <definedName name="vnot">'[17]Class Problems'!$G$39</definedName>
    <definedName name="Vol">[1]Spreadsheet8.2!$C$12</definedName>
    <definedName name="Volatilities">#REF!</definedName>
    <definedName name="Volatility">#REF!</definedName>
    <definedName name="VolatilityOfPosition">#REF!</definedName>
    <definedName name="VolCollateral">#REF!</definedName>
    <definedName name="volCurve">#REF!</definedName>
    <definedName name="volCurve2">#REF!</definedName>
    <definedName name="VolExposure">#REF!</definedName>
    <definedName name="VolMC">[9]MonteCarlo!$C$7</definedName>
    <definedName name="VolSqrtDt">[9]MonteCarlo!$F$7</definedName>
    <definedName name="Volume">#REF!</definedName>
    <definedName name="VolumeToLiquidate">#REF!</definedName>
    <definedName name="WADP">#REF!</definedName>
    <definedName name="WeBuyFrom">#REF!</definedName>
    <definedName name="WeightEUR">#REF!</definedName>
    <definedName name="Weights">#REF!</definedName>
    <definedName name="WeightVector">[6]MeanVariance!$C$3:$C$6</definedName>
    <definedName name="WeightVector1">[6]MeanVariance!$G$18:$G$21</definedName>
    <definedName name="WeightVector2">[6]MeanVariance!$K$18:$K$21</definedName>
    <definedName name="WestMarket">#REF!</definedName>
    <definedName name="Workbook">#REF!</definedName>
    <definedName name="Worksheet_List">#REF!</definedName>
    <definedName name="X2OverS">[5]OptionPricer!$C$21</definedName>
    <definedName name="xx">#REF!</definedName>
    <definedName name="YearToMaturity">'[6]Bond Price with Excel'!$B$18</definedName>
    <definedName name="Yield">'[6]Bond Price with Excel'!$B$13</definedName>
    <definedName name="YieldCurveId">#REF!</definedName>
    <definedName name="YieldCurveName">#REF!</definedName>
    <definedName name="zeroCurve">#REF!</definedName>
    <definedName name="ZeroCurveRange">OFFSET(#REF!,1,0,#REF!,1)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C21" i="7" l="1"/>
  <c r="Q28" i="7" l="1"/>
  <c r="Q27" i="7"/>
  <c r="Q26" i="7"/>
  <c r="Q25" i="7"/>
  <c r="Q24" i="7"/>
  <c r="C16" i="7"/>
  <c r="C17" i="7" s="1"/>
  <c r="C25" i="7"/>
  <c r="B26" i="7"/>
  <c r="B27" i="7" s="1"/>
  <c r="D13" i="6"/>
  <c r="J108" i="6" s="1"/>
  <c r="D12" i="6"/>
  <c r="G11" i="6"/>
  <c r="J109" i="6"/>
  <c r="J106" i="6"/>
  <c r="I94" i="6"/>
  <c r="J86" i="6"/>
  <c r="J67" i="6"/>
  <c r="J46" i="6"/>
  <c r="J24" i="6"/>
  <c r="J21" i="6"/>
  <c r="J14" i="6"/>
  <c r="Q109" i="6"/>
  <c r="Q108" i="6"/>
  <c r="R109" i="6" s="1"/>
  <c r="Q107" i="6"/>
  <c r="Q106" i="6"/>
  <c r="Q105" i="6"/>
  <c r="Q104" i="6"/>
  <c r="Q103" i="6"/>
  <c r="Q102" i="6"/>
  <c r="Q101" i="6"/>
  <c r="Q100" i="6"/>
  <c r="R101" i="6" s="1"/>
  <c r="Q99" i="6"/>
  <c r="R100" i="6" s="1"/>
  <c r="Q98" i="6"/>
  <c r="Q97" i="6"/>
  <c r="Q96" i="6"/>
  <c r="Q95" i="6"/>
  <c r="R96" i="6" s="1"/>
  <c r="Q94" i="6"/>
  <c r="Q93" i="6"/>
  <c r="Q92" i="6"/>
  <c r="R93" i="6" s="1"/>
  <c r="Q91" i="6"/>
  <c r="Q90" i="6"/>
  <c r="Q89" i="6"/>
  <c r="Q88" i="6"/>
  <c r="Q87" i="6"/>
  <c r="Q86" i="6"/>
  <c r="Q85" i="6"/>
  <c r="R85" i="6"/>
  <c r="Q84" i="6"/>
  <c r="Q83" i="6"/>
  <c r="R84" i="6"/>
  <c r="Q82" i="6"/>
  <c r="R83" i="6" s="1"/>
  <c r="Q81" i="6"/>
  <c r="Q80" i="6"/>
  <c r="R81" i="6" s="1"/>
  <c r="Q79" i="6"/>
  <c r="Q78" i="6"/>
  <c r="Q77" i="6"/>
  <c r="R77" i="6"/>
  <c r="Q76" i="6"/>
  <c r="Q75" i="6"/>
  <c r="Q74" i="6"/>
  <c r="Q73" i="6"/>
  <c r="Q72" i="6"/>
  <c r="Q71" i="6"/>
  <c r="Q70" i="6"/>
  <c r="Q69" i="6"/>
  <c r="Q68" i="6"/>
  <c r="R69" i="6" s="1"/>
  <c r="Q67" i="6"/>
  <c r="Q66" i="6"/>
  <c r="Q65" i="6"/>
  <c r="Q64" i="6"/>
  <c r="R65" i="6" s="1"/>
  <c r="Q63" i="6"/>
  <c r="Q62" i="6"/>
  <c r="Q61" i="6"/>
  <c r="R61" i="6"/>
  <c r="Q60" i="6"/>
  <c r="Q59" i="6"/>
  <c r="Q58" i="6"/>
  <c r="Q57" i="6"/>
  <c r="Q56" i="6"/>
  <c r="Q55" i="6"/>
  <c r="Q54" i="6"/>
  <c r="Q53" i="6"/>
  <c r="Q52" i="6"/>
  <c r="R53" i="6" s="1"/>
  <c r="Q51" i="6"/>
  <c r="Q50" i="6"/>
  <c r="Q49" i="6"/>
  <c r="Q48" i="6"/>
  <c r="Q47" i="6"/>
  <c r="R48" i="6"/>
  <c r="Q46" i="6"/>
  <c r="Q45" i="6"/>
  <c r="Q44" i="6"/>
  <c r="R45" i="6" s="1"/>
  <c r="Q43" i="6"/>
  <c r="Q42" i="6"/>
  <c r="Q41" i="6"/>
  <c r="R41" i="6"/>
  <c r="Q40" i="6"/>
  <c r="R40" i="6" s="1"/>
  <c r="Q39" i="6"/>
  <c r="Q38" i="6"/>
  <c r="Q37" i="6"/>
  <c r="R38" i="6" s="1"/>
  <c r="Q36" i="6"/>
  <c r="Q35" i="6"/>
  <c r="Q34" i="6"/>
  <c r="Q33" i="6"/>
  <c r="Q32" i="6"/>
  <c r="Q31" i="6"/>
  <c r="Q30" i="6"/>
  <c r="R31" i="6" s="1"/>
  <c r="Q29" i="6"/>
  <c r="Q28" i="6"/>
  <c r="R29" i="6" s="1"/>
  <c r="Q27" i="6"/>
  <c r="Q26" i="6"/>
  <c r="Q25" i="6"/>
  <c r="R26" i="6" s="1"/>
  <c r="Q24" i="6"/>
  <c r="R24" i="6" s="1"/>
  <c r="Q23" i="6"/>
  <c r="Q22" i="6"/>
  <c r="R23" i="6"/>
  <c r="Q21" i="6"/>
  <c r="R21" i="6" s="1"/>
  <c r="Q20" i="6"/>
  <c r="Q19" i="6"/>
  <c r="Q18" i="6"/>
  <c r="Q17" i="6"/>
  <c r="R18" i="6"/>
  <c r="Q16" i="6"/>
  <c r="Q15" i="6"/>
  <c r="Q14" i="6"/>
  <c r="Q13" i="6"/>
  <c r="Q12" i="6"/>
  <c r="Q11" i="6"/>
  <c r="I17" i="6"/>
  <c r="I99" i="6"/>
  <c r="I19" i="6"/>
  <c r="I57" i="6"/>
  <c r="I88" i="6"/>
  <c r="I30" i="6"/>
  <c r="I44" i="6"/>
  <c r="I84" i="6"/>
  <c r="H11" i="6"/>
  <c r="J16" i="6"/>
  <c r="J17" i="6"/>
  <c r="J18" i="6"/>
  <c r="J19" i="6"/>
  <c r="J26" i="6"/>
  <c r="J27" i="6"/>
  <c r="J28" i="6"/>
  <c r="J29" i="6"/>
  <c r="J36" i="6"/>
  <c r="J37" i="6"/>
  <c r="J38" i="6"/>
  <c r="J39" i="6"/>
  <c r="J56" i="6"/>
  <c r="J57" i="6"/>
  <c r="J58" i="6"/>
  <c r="J59" i="6"/>
  <c r="J76" i="6"/>
  <c r="J77" i="6"/>
  <c r="J78" i="6"/>
  <c r="J79" i="6"/>
  <c r="J96" i="6"/>
  <c r="J97" i="6"/>
  <c r="J98" i="6"/>
  <c r="J99" i="6"/>
  <c r="I41" i="6"/>
  <c r="I61" i="6"/>
  <c r="I93" i="6"/>
  <c r="J31" i="6"/>
  <c r="J32" i="6"/>
  <c r="J33" i="6"/>
  <c r="J34" i="6"/>
  <c r="J41" i="6"/>
  <c r="J42" i="6"/>
  <c r="J43" i="6"/>
  <c r="J44" i="6"/>
  <c r="J51" i="6"/>
  <c r="J52" i="6"/>
  <c r="J53" i="6"/>
  <c r="J54" i="6"/>
  <c r="J61" i="6"/>
  <c r="J62" i="6"/>
  <c r="J63" i="6"/>
  <c r="J64" i="6"/>
  <c r="J71" i="6"/>
  <c r="J72" i="6"/>
  <c r="J73" i="6"/>
  <c r="J74" i="6"/>
  <c r="J81" i="6"/>
  <c r="J82" i="6"/>
  <c r="J83" i="6"/>
  <c r="J84" i="6"/>
  <c r="J91" i="6"/>
  <c r="J92" i="6"/>
  <c r="J93" i="6"/>
  <c r="J94" i="6"/>
  <c r="J101" i="6"/>
  <c r="J102" i="6"/>
  <c r="J103" i="6"/>
  <c r="R22" i="6"/>
  <c r="R30" i="6"/>
  <c r="R42" i="6"/>
  <c r="R46" i="6"/>
  <c r="R62" i="6"/>
  <c r="R66" i="6"/>
  <c r="R70" i="6"/>
  <c r="R78" i="6"/>
  <c r="R82" i="6"/>
  <c r="R86" i="6"/>
  <c r="R90" i="6"/>
  <c r="J15" i="6"/>
  <c r="J25" i="6"/>
  <c r="J35" i="6"/>
  <c r="J45" i="6"/>
  <c r="J55" i="6"/>
  <c r="J65" i="6"/>
  <c r="J75" i="6"/>
  <c r="J85" i="6"/>
  <c r="J95" i="6"/>
  <c r="J105" i="6"/>
  <c r="J104" i="6"/>
  <c r="J89" i="6"/>
  <c r="J87" i="6"/>
  <c r="J68" i="6"/>
  <c r="J66" i="6"/>
  <c r="J49" i="6"/>
  <c r="J47" i="6"/>
  <c r="J13" i="6"/>
  <c r="J11" i="6"/>
  <c r="I42" i="6"/>
  <c r="I22" i="6"/>
  <c r="R25" i="6"/>
  <c r="R36" i="6"/>
  <c r="R35" i="6"/>
  <c r="R39" i="6"/>
  <c r="R43" i="6"/>
  <c r="R56" i="6"/>
  <c r="R60" i="6"/>
  <c r="R59" i="6"/>
  <c r="R64" i="6"/>
  <c r="R63" i="6"/>
  <c r="R76" i="6"/>
  <c r="R75" i="6"/>
  <c r="R87" i="6"/>
  <c r="R95" i="6"/>
  <c r="R47" i="6"/>
  <c r="R11" i="6"/>
  <c r="R12" i="6"/>
  <c r="R15" i="6"/>
  <c r="R32" i="6"/>
  <c r="R94" i="6"/>
  <c r="R97" i="6"/>
  <c r="R98" i="6"/>
  <c r="R102" i="6"/>
  <c r="R105" i="6"/>
  <c r="R106" i="6"/>
  <c r="I11" i="6"/>
  <c r="I15" i="6"/>
  <c r="I87" i="6"/>
  <c r="I20" i="6"/>
  <c r="I76" i="6"/>
  <c r="I92" i="6"/>
  <c r="I71" i="6"/>
  <c r="I83" i="6"/>
  <c r="I25" i="6"/>
  <c r="I59" i="6"/>
  <c r="I13" i="6"/>
  <c r="I27" i="6"/>
  <c r="I89" i="6"/>
  <c r="I16" i="6"/>
  <c r="I64" i="6"/>
  <c r="I98" i="6"/>
  <c r="I91" i="6"/>
  <c r="I103" i="6"/>
  <c r="R17" i="6"/>
  <c r="R16" i="6"/>
  <c r="J12" i="6"/>
  <c r="J23" i="6"/>
  <c r="J48" i="6"/>
  <c r="J88" i="6"/>
  <c r="R92" i="6" l="1"/>
  <c r="R91" i="6"/>
  <c r="R104" i="6"/>
  <c r="R103" i="6"/>
  <c r="R108" i="6"/>
  <c r="R107" i="6"/>
  <c r="G12" i="6"/>
  <c r="R68" i="6"/>
  <c r="R67" i="6"/>
  <c r="R72" i="6"/>
  <c r="R71" i="6"/>
  <c r="R88" i="6"/>
  <c r="R89" i="6"/>
  <c r="R99" i="6"/>
  <c r="R49" i="6"/>
  <c r="R50" i="6"/>
  <c r="R57" i="6"/>
  <c r="R58" i="6"/>
  <c r="R20" i="6"/>
  <c r="R19" i="6"/>
  <c r="R34" i="6"/>
  <c r="R33" i="6"/>
  <c r="R37" i="6"/>
  <c r="R44" i="6"/>
  <c r="R54" i="6"/>
  <c r="R55" i="6"/>
  <c r="R80" i="6"/>
  <c r="R79" i="6"/>
  <c r="I66" i="6"/>
  <c r="I12" i="6"/>
  <c r="I39" i="6"/>
  <c r="I74" i="6"/>
  <c r="I102" i="6"/>
  <c r="I34" i="6"/>
  <c r="I60" i="6"/>
  <c r="I96" i="6"/>
  <c r="I45" i="6"/>
  <c r="I73" i="6"/>
  <c r="I101" i="6"/>
  <c r="I68" i="6"/>
  <c r="I14" i="6"/>
  <c r="I47" i="6"/>
  <c r="I86" i="6"/>
  <c r="I18" i="6"/>
  <c r="I38" i="6"/>
  <c r="I72" i="6"/>
  <c r="I100" i="6"/>
  <c r="I53" i="6"/>
  <c r="I81" i="6"/>
  <c r="I110" i="6"/>
  <c r="I24" i="6"/>
  <c r="I54" i="6"/>
  <c r="I35" i="6"/>
  <c r="I97" i="6"/>
  <c r="I58" i="6"/>
  <c r="I43" i="6"/>
  <c r="I95" i="6"/>
  <c r="I21" i="6"/>
  <c r="I82" i="6"/>
  <c r="I50" i="6"/>
  <c r="I28" i="6"/>
  <c r="I80" i="6"/>
  <c r="I75" i="6"/>
  <c r="I77" i="6"/>
  <c r="I70" i="6"/>
  <c r="I49" i="6"/>
  <c r="I26" i="6"/>
  <c r="I78" i="6"/>
  <c r="I85" i="6"/>
  <c r="I106" i="6"/>
  <c r="I69" i="6"/>
  <c r="I62" i="6"/>
  <c r="I40" i="6"/>
  <c r="I55" i="6"/>
  <c r="I107" i="6"/>
  <c r="I67" i="6"/>
  <c r="I79" i="6"/>
  <c r="I52" i="6"/>
  <c r="I63" i="6"/>
  <c r="I23" i="6"/>
  <c r="I37" i="6"/>
  <c r="I31" i="6"/>
  <c r="I90" i="6"/>
  <c r="I56" i="6"/>
  <c r="I65" i="6"/>
  <c r="I108" i="6"/>
  <c r="I33" i="6"/>
  <c r="I48" i="6"/>
  <c r="I32" i="6"/>
  <c r="I104" i="6"/>
  <c r="I105" i="6"/>
  <c r="I29" i="6"/>
  <c r="I46" i="6"/>
  <c r="I36" i="6"/>
  <c r="I51" i="6"/>
  <c r="I109" i="6"/>
  <c r="R14" i="6"/>
  <c r="R13" i="6"/>
  <c r="R28" i="6"/>
  <c r="R27" i="6"/>
  <c r="R52" i="6"/>
  <c r="R51" i="6"/>
  <c r="R73" i="6"/>
  <c r="R74" i="6"/>
  <c r="J22" i="6"/>
  <c r="J69" i="6"/>
  <c r="J107" i="6"/>
  <c r="C26" i="7"/>
  <c r="C27" i="7" s="1"/>
  <c r="B28" i="7"/>
  <c r="F27" i="7"/>
  <c r="F26" i="7"/>
  <c r="G13" i="6" l="1"/>
  <c r="H12" i="6"/>
  <c r="D27" i="7"/>
  <c r="G27" i="7" s="1"/>
  <c r="D26" i="7"/>
  <c r="F28" i="7"/>
  <c r="B29" i="7"/>
  <c r="C28" i="7"/>
  <c r="D28" i="7" s="1"/>
  <c r="G26" i="7"/>
  <c r="H13" i="6" l="1"/>
  <c r="G14" i="6"/>
  <c r="C29" i="7"/>
  <c r="D29" i="7" s="1"/>
  <c r="G28" i="7"/>
  <c r="F29" i="7"/>
  <c r="B30" i="7"/>
  <c r="G15" i="6" l="1"/>
  <c r="H14" i="6"/>
  <c r="C30" i="7"/>
  <c r="D30" i="7" s="1"/>
  <c r="G29" i="7"/>
  <c r="B31" i="7"/>
  <c r="F30" i="7"/>
  <c r="G16" i="6" l="1"/>
  <c r="H15" i="6"/>
  <c r="C31" i="7"/>
  <c r="D31" i="7" s="1"/>
  <c r="G30" i="7"/>
  <c r="B32" i="7"/>
  <c r="F31" i="7"/>
  <c r="H16" i="6" l="1"/>
  <c r="G17" i="6"/>
  <c r="G31" i="7"/>
  <c r="B33" i="7"/>
  <c r="F32" i="7"/>
  <c r="C32" i="7"/>
  <c r="D32" i="7" s="1"/>
  <c r="G18" i="6" l="1"/>
  <c r="H17" i="6"/>
  <c r="F33" i="7"/>
  <c r="B34" i="7"/>
  <c r="C33" i="7"/>
  <c r="D33" i="7" s="1"/>
  <c r="G32" i="7"/>
  <c r="H18" i="6" l="1"/>
  <c r="G19" i="6"/>
  <c r="C34" i="7"/>
  <c r="D34" i="7" s="1"/>
  <c r="G33" i="7"/>
  <c r="B35" i="7"/>
  <c r="F34" i="7"/>
  <c r="H19" i="6" l="1"/>
  <c r="G20" i="6"/>
  <c r="G34" i="7"/>
  <c r="C35" i="7"/>
  <c r="D35" i="7" s="1"/>
  <c r="B36" i="7"/>
  <c r="F35" i="7"/>
  <c r="G21" i="6" l="1"/>
  <c r="H20" i="6"/>
  <c r="J20" i="6" s="1"/>
  <c r="C36" i="7"/>
  <c r="D36" i="7" s="1"/>
  <c r="G35" i="7"/>
  <c r="F36" i="7"/>
  <c r="B37" i="7"/>
  <c r="C37" i="7"/>
  <c r="D37" i="7" s="1"/>
  <c r="G22" i="6" l="1"/>
  <c r="H21" i="6"/>
  <c r="G36" i="7"/>
  <c r="F37" i="7"/>
  <c r="G37" i="7" s="1"/>
  <c r="B38" i="7"/>
  <c r="G23" i="6" l="1"/>
  <c r="H22" i="6"/>
  <c r="F38" i="7"/>
  <c r="B39" i="7"/>
  <c r="C38" i="7"/>
  <c r="G24" i="6" l="1"/>
  <c r="H23" i="6"/>
  <c r="C39" i="7"/>
  <c r="D39" i="7" s="1"/>
  <c r="D38" i="7"/>
  <c r="G38" i="7" s="1"/>
  <c r="F39" i="7"/>
  <c r="B40" i="7"/>
  <c r="H24" i="6" l="1"/>
  <c r="G25" i="6"/>
  <c r="G39" i="7"/>
  <c r="B41" i="7"/>
  <c r="F40" i="7"/>
  <c r="C40" i="7"/>
  <c r="G26" i="6" l="1"/>
  <c r="H25" i="6"/>
  <c r="C41" i="7"/>
  <c r="D40" i="7"/>
  <c r="G40" i="7" s="1"/>
  <c r="F41" i="7"/>
  <c r="B42" i="7"/>
  <c r="D41" i="7"/>
  <c r="G27" i="6" l="1"/>
  <c r="H26" i="6"/>
  <c r="C42" i="7"/>
  <c r="G41" i="7"/>
  <c r="F42" i="7"/>
  <c r="B43" i="7"/>
  <c r="D42" i="7"/>
  <c r="H27" i="6" l="1"/>
  <c r="G28" i="6"/>
  <c r="C43" i="7"/>
  <c r="D43" i="7" s="1"/>
  <c r="G42" i="7"/>
  <c r="B44" i="7"/>
  <c r="F43" i="7"/>
  <c r="H28" i="6" l="1"/>
  <c r="G29" i="6"/>
  <c r="C44" i="7"/>
  <c r="D44" i="7" s="1"/>
  <c r="G43" i="7"/>
  <c r="B45" i="7"/>
  <c r="F44" i="7"/>
  <c r="H29" i="6" l="1"/>
  <c r="G30" i="6"/>
  <c r="G44" i="7"/>
  <c r="C45" i="7"/>
  <c r="B46" i="7"/>
  <c r="C46" i="7" s="1"/>
  <c r="F45" i="7"/>
  <c r="D45" i="7"/>
  <c r="G31" i="6" l="1"/>
  <c r="H30" i="6"/>
  <c r="J30" i="6" s="1"/>
  <c r="G45" i="7"/>
  <c r="B47" i="7"/>
  <c r="F46" i="7"/>
  <c r="D46" i="7"/>
  <c r="G32" i="6" l="1"/>
  <c r="H31" i="6"/>
  <c r="G46" i="7"/>
  <c r="B48" i="7"/>
  <c r="F47" i="7"/>
  <c r="C47" i="7"/>
  <c r="H32" i="6" l="1"/>
  <c r="G33" i="6"/>
  <c r="C48" i="7"/>
  <c r="D48" i="7" s="1"/>
  <c r="F48" i="7"/>
  <c r="B49" i="7"/>
  <c r="D47" i="7"/>
  <c r="G47" i="7" s="1"/>
  <c r="G34" i="6" l="1"/>
  <c r="H33" i="6"/>
  <c r="C49" i="7"/>
  <c r="G48" i="7"/>
  <c r="F49" i="7"/>
  <c r="B50" i="7"/>
  <c r="D49" i="7"/>
  <c r="G49" i="7" s="1"/>
  <c r="H34" i="6" l="1"/>
  <c r="G35" i="6"/>
  <c r="C50" i="7"/>
  <c r="D50" i="7" s="1"/>
  <c r="F50" i="7"/>
  <c r="B51" i="7"/>
  <c r="G36" i="6" l="1"/>
  <c r="H35" i="6"/>
  <c r="G50" i="7"/>
  <c r="F51" i="7"/>
  <c r="B52" i="7"/>
  <c r="C51" i="7"/>
  <c r="D51" i="7" s="1"/>
  <c r="H36" i="6" l="1"/>
  <c r="G37" i="6"/>
  <c r="C52" i="7"/>
  <c r="D52" i="7" s="1"/>
  <c r="G51" i="7"/>
  <c r="F52" i="7"/>
  <c r="B53" i="7"/>
  <c r="H37" i="6" l="1"/>
  <c r="G38" i="6"/>
  <c r="G52" i="7"/>
  <c r="C53" i="7"/>
  <c r="D53" i="7" s="1"/>
  <c r="B54" i="7"/>
  <c r="F53" i="7"/>
  <c r="G39" i="6" l="1"/>
  <c r="H38" i="6"/>
  <c r="G53" i="7"/>
  <c r="B55" i="7"/>
  <c r="F54" i="7"/>
  <c r="C54" i="7"/>
  <c r="H39" i="6" l="1"/>
  <c r="G40" i="6"/>
  <c r="C55" i="7"/>
  <c r="D55" i="7" s="1"/>
  <c r="B56" i="7"/>
  <c r="F55" i="7"/>
  <c r="D54" i="7"/>
  <c r="G54" i="7" s="1"/>
  <c r="H40" i="6" l="1"/>
  <c r="J40" i="6" s="1"/>
  <c r="G41" i="6"/>
  <c r="G55" i="7"/>
  <c r="C56" i="7"/>
  <c r="D56" i="7" s="1"/>
  <c r="G56" i="7" s="1"/>
  <c r="B57" i="7"/>
  <c r="F56" i="7"/>
  <c r="G42" i="6" l="1"/>
  <c r="H41" i="6"/>
  <c r="C57" i="7"/>
  <c r="D57" i="7" s="1"/>
  <c r="B58" i="7"/>
  <c r="F57" i="7"/>
  <c r="G43" i="6" l="1"/>
  <c r="H42" i="6"/>
  <c r="G57" i="7"/>
  <c r="B59" i="7"/>
  <c r="F58" i="7"/>
  <c r="C58" i="7"/>
  <c r="D58" i="7" s="1"/>
  <c r="H43" i="6" l="1"/>
  <c r="G44" i="6"/>
  <c r="G58" i="7"/>
  <c r="C59" i="7"/>
  <c r="D59" i="7" s="1"/>
  <c r="G59" i="7" s="1"/>
  <c r="B60" i="7"/>
  <c r="F59" i="7"/>
  <c r="G45" i="6" l="1"/>
  <c r="H44" i="6"/>
  <c r="C60" i="7"/>
  <c r="D60" i="7" s="1"/>
  <c r="F60" i="7"/>
  <c r="G60" i="7" s="1"/>
  <c r="B61" i="7"/>
  <c r="H45" i="6" l="1"/>
  <c r="G46" i="6"/>
  <c r="B62" i="7"/>
  <c r="F61" i="7"/>
  <c r="C61" i="7"/>
  <c r="D61" i="7" s="1"/>
  <c r="G61" i="7" s="1"/>
  <c r="H46" i="6" l="1"/>
  <c r="G47" i="6"/>
  <c r="B63" i="7"/>
  <c r="F62" i="7"/>
  <c r="C62" i="7"/>
  <c r="D62" i="7" s="1"/>
  <c r="G62" i="7" s="1"/>
  <c r="H47" i="6" l="1"/>
  <c r="G48" i="6"/>
  <c r="C63" i="7"/>
  <c r="D63" i="7" s="1"/>
  <c r="B64" i="7"/>
  <c r="F63" i="7"/>
  <c r="H48" i="6" l="1"/>
  <c r="G49" i="6"/>
  <c r="G63" i="7"/>
  <c r="F64" i="7"/>
  <c r="B65" i="7"/>
  <c r="C64" i="7"/>
  <c r="D64" i="7" s="1"/>
  <c r="G50" i="6" l="1"/>
  <c r="H49" i="6"/>
  <c r="G64" i="7"/>
  <c r="C65" i="7"/>
  <c r="D65" i="7" s="1"/>
  <c r="F65" i="7"/>
  <c r="B66" i="7"/>
  <c r="G51" i="6" l="1"/>
  <c r="H50" i="6"/>
  <c r="J50" i="6" s="1"/>
  <c r="C66" i="7"/>
  <c r="D66" i="7" s="1"/>
  <c r="F66" i="7"/>
  <c r="B67" i="7"/>
  <c r="G65" i="7"/>
  <c r="G52" i="6" l="1"/>
  <c r="H51" i="6"/>
  <c r="C67" i="7"/>
  <c r="G66" i="7"/>
  <c r="F67" i="7"/>
  <c r="B68" i="7"/>
  <c r="D67" i="7"/>
  <c r="G53" i="6" l="1"/>
  <c r="H52" i="6"/>
  <c r="G67" i="7"/>
  <c r="C68" i="7"/>
  <c r="D68" i="7" s="1"/>
  <c r="F68" i="7"/>
  <c r="B69" i="7"/>
  <c r="H53" i="6" l="1"/>
  <c r="G54" i="6"/>
  <c r="C69" i="7"/>
  <c r="G68" i="7"/>
  <c r="B70" i="7"/>
  <c r="F69" i="7"/>
  <c r="G55" i="6" l="1"/>
  <c r="H54" i="6"/>
  <c r="C70" i="7"/>
  <c r="D70" i="7" s="1"/>
  <c r="D69" i="7"/>
  <c r="G69" i="7" s="1"/>
  <c r="B71" i="7"/>
  <c r="C71" i="7" s="1"/>
  <c r="F70" i="7"/>
  <c r="H55" i="6" l="1"/>
  <c r="G56" i="6"/>
  <c r="G70" i="7"/>
  <c r="B72" i="7"/>
  <c r="C72" i="7" s="1"/>
  <c r="D72" i="7" s="1"/>
  <c r="F71" i="7"/>
  <c r="D71" i="7"/>
  <c r="H56" i="6" l="1"/>
  <c r="G57" i="6"/>
  <c r="G71" i="7"/>
  <c r="F72" i="7"/>
  <c r="G72" i="7" s="1"/>
  <c r="B73" i="7"/>
  <c r="H57" i="6" l="1"/>
  <c r="G58" i="6"/>
  <c r="B74" i="7"/>
  <c r="F73" i="7"/>
  <c r="C73" i="7"/>
  <c r="D73" i="7" s="1"/>
  <c r="G73" i="7" s="1"/>
  <c r="H58" i="6" l="1"/>
  <c r="G59" i="6"/>
  <c r="F74" i="7"/>
  <c r="B75" i="7"/>
  <c r="C74" i="7"/>
  <c r="C75" i="7" s="1"/>
  <c r="G60" i="6" l="1"/>
  <c r="H59" i="6"/>
  <c r="D75" i="7"/>
  <c r="D74" i="7"/>
  <c r="G74" i="7" s="1"/>
  <c r="F75" i="7"/>
  <c r="B76" i="7"/>
  <c r="C76" i="7"/>
  <c r="D76" i="7" s="1"/>
  <c r="H60" i="6" l="1"/>
  <c r="J60" i="6" s="1"/>
  <c r="G61" i="6"/>
  <c r="G75" i="7"/>
  <c r="B77" i="7"/>
  <c r="C77" i="7" s="1"/>
  <c r="F76" i="7"/>
  <c r="G76" i="7" s="1"/>
  <c r="G62" i="6" l="1"/>
  <c r="H61" i="6"/>
  <c r="F77" i="7"/>
  <c r="B78" i="7"/>
  <c r="C78" i="7" s="1"/>
  <c r="D78" i="7" s="1"/>
  <c r="D77" i="7"/>
  <c r="G63" i="6" l="1"/>
  <c r="H62" i="6"/>
  <c r="G77" i="7"/>
  <c r="B79" i="7"/>
  <c r="F78" i="7"/>
  <c r="G78" i="7" s="1"/>
  <c r="C79" i="7"/>
  <c r="D79" i="7" s="1"/>
  <c r="G64" i="6" l="1"/>
  <c r="H63" i="6"/>
  <c r="B80" i="7"/>
  <c r="C80" i="7" s="1"/>
  <c r="F79" i="7"/>
  <c r="G79" i="7" s="1"/>
  <c r="H64" i="6" l="1"/>
  <c r="G65" i="6"/>
  <c r="B81" i="7"/>
  <c r="C81" i="7" s="1"/>
  <c r="D81" i="7" s="1"/>
  <c r="F80" i="7"/>
  <c r="D80" i="7"/>
  <c r="G66" i="6" l="1"/>
  <c r="H65" i="6"/>
  <c r="F81" i="7"/>
  <c r="G81" i="7" s="1"/>
  <c r="B82" i="7"/>
  <c r="C82" i="7" s="1"/>
  <c r="D82" i="7" s="1"/>
  <c r="G80" i="7"/>
  <c r="G67" i="6" l="1"/>
  <c r="H66" i="6"/>
  <c r="F82" i="7"/>
  <c r="G82" i="7" s="1"/>
  <c r="B83" i="7"/>
  <c r="C83" i="7" s="1"/>
  <c r="D83" i="7" s="1"/>
  <c r="H67" i="6" l="1"/>
  <c r="G68" i="6"/>
  <c r="B84" i="7"/>
  <c r="C84" i="7" s="1"/>
  <c r="D84" i="7" s="1"/>
  <c r="F83" i="7"/>
  <c r="G83" i="7" s="1"/>
  <c r="G69" i="6" l="1"/>
  <c r="H68" i="6"/>
  <c r="F84" i="7"/>
  <c r="G84" i="7" s="1"/>
  <c r="B85" i="7"/>
  <c r="C85" i="7" s="1"/>
  <c r="D85" i="7" s="1"/>
  <c r="H69" i="6" l="1"/>
  <c r="G70" i="6"/>
  <c r="F85" i="7"/>
  <c r="G85" i="7" s="1"/>
  <c r="B86" i="7"/>
  <c r="G71" i="6" l="1"/>
  <c r="H70" i="6"/>
  <c r="J70" i="6" s="1"/>
  <c r="B87" i="7"/>
  <c r="F86" i="7"/>
  <c r="C86" i="7"/>
  <c r="H71" i="6" l="1"/>
  <c r="G72" i="6"/>
  <c r="C87" i="7"/>
  <c r="D87" i="7" s="1"/>
  <c r="G87" i="7" s="1"/>
  <c r="D86" i="7"/>
  <c r="G86" i="7" s="1"/>
  <c r="B88" i="7"/>
  <c r="F87" i="7"/>
  <c r="H72" i="6" l="1"/>
  <c r="G73" i="6"/>
  <c r="C88" i="7"/>
  <c r="C89" i="7" s="1"/>
  <c r="D89" i="7" s="1"/>
  <c r="B89" i="7"/>
  <c r="F88" i="7"/>
  <c r="H73" i="6" l="1"/>
  <c r="G74" i="6"/>
  <c r="D88" i="7"/>
  <c r="G88" i="7" s="1"/>
  <c r="F89" i="7"/>
  <c r="G89" i="7" s="1"/>
  <c r="B90" i="7"/>
  <c r="G75" i="6" l="1"/>
  <c r="H74" i="6"/>
  <c r="B91" i="7"/>
  <c r="F90" i="7"/>
  <c r="C90" i="7"/>
  <c r="D90" i="7" s="1"/>
  <c r="G90" i="7" s="1"/>
  <c r="H75" i="6" l="1"/>
  <c r="G76" i="6"/>
  <c r="F91" i="7"/>
  <c r="B92" i="7"/>
  <c r="C91" i="7"/>
  <c r="C92" i="7" s="1"/>
  <c r="G77" i="6" l="1"/>
  <c r="H76" i="6"/>
  <c r="D92" i="7"/>
  <c r="D91" i="7"/>
  <c r="G91" i="7" s="1"/>
  <c r="F92" i="7"/>
  <c r="B93" i="7"/>
  <c r="C93" i="7"/>
  <c r="G78" i="6" l="1"/>
  <c r="H77" i="6"/>
  <c r="G92" i="7"/>
  <c r="F93" i="7"/>
  <c r="B94" i="7"/>
  <c r="C94" i="7" s="1"/>
  <c r="D93" i="7"/>
  <c r="G79" i="6" l="1"/>
  <c r="H78" i="6"/>
  <c r="G93" i="7"/>
  <c r="B95" i="7"/>
  <c r="C95" i="7" s="1"/>
  <c r="D95" i="7" s="1"/>
  <c r="F94" i="7"/>
  <c r="D94" i="7"/>
  <c r="G80" i="6" l="1"/>
  <c r="H79" i="6"/>
  <c r="G94" i="7"/>
  <c r="F95" i="7"/>
  <c r="G95" i="7" s="1"/>
  <c r="B96" i="7"/>
  <c r="C96" i="7" s="1"/>
  <c r="D96" i="7" s="1"/>
  <c r="G81" i="6" l="1"/>
  <c r="H80" i="6"/>
  <c r="J80" i="6" s="1"/>
  <c r="B97" i="7"/>
  <c r="C97" i="7" s="1"/>
  <c r="F96" i="7"/>
  <c r="G96" i="7" s="1"/>
  <c r="H81" i="6" l="1"/>
  <c r="G82" i="6"/>
  <c r="F97" i="7"/>
  <c r="B98" i="7"/>
  <c r="C98" i="7"/>
  <c r="D98" i="7" s="1"/>
  <c r="D97" i="7"/>
  <c r="H82" i="6" l="1"/>
  <c r="G83" i="6"/>
  <c r="F98" i="7"/>
  <c r="G98" i="7" s="1"/>
  <c r="B99" i="7"/>
  <c r="C99" i="7" s="1"/>
  <c r="G97" i="7"/>
  <c r="H83" i="6" l="1"/>
  <c r="G84" i="6"/>
  <c r="B100" i="7"/>
  <c r="C100" i="7" s="1"/>
  <c r="F99" i="7"/>
  <c r="D99" i="7"/>
  <c r="H84" i="6" l="1"/>
  <c r="G85" i="6"/>
  <c r="G99" i="7"/>
  <c r="F100" i="7"/>
  <c r="B101" i="7"/>
  <c r="C101" i="7" s="1"/>
  <c r="D100" i="7"/>
  <c r="H85" i="6" l="1"/>
  <c r="G86" i="6"/>
  <c r="G100" i="7"/>
  <c r="F101" i="7"/>
  <c r="B102" i="7"/>
  <c r="C102" i="7" s="1"/>
  <c r="D101" i="7"/>
  <c r="G87" i="6" l="1"/>
  <c r="H86" i="6"/>
  <c r="G101" i="7"/>
  <c r="B103" i="7"/>
  <c r="C103" i="7" s="1"/>
  <c r="D103" i="7" s="1"/>
  <c r="F102" i="7"/>
  <c r="D102" i="7"/>
  <c r="G88" i="6" l="1"/>
  <c r="H87" i="6"/>
  <c r="G102" i="7"/>
  <c r="F103" i="7"/>
  <c r="G103" i="7" s="1"/>
  <c r="B104" i="7"/>
  <c r="C104" i="7" s="1"/>
  <c r="D104" i="7" s="1"/>
  <c r="G89" i="6" l="1"/>
  <c r="H88" i="6"/>
  <c r="F104" i="7"/>
  <c r="G104" i="7" s="1"/>
  <c r="B105" i="7"/>
  <c r="C105" i="7" s="1"/>
  <c r="D105" i="7" s="1"/>
  <c r="G90" i="6" l="1"/>
  <c r="H89" i="6"/>
  <c r="F105" i="7"/>
  <c r="G105" i="7" s="1"/>
  <c r="B106" i="7"/>
  <c r="H90" i="6" l="1"/>
  <c r="J90" i="6" s="1"/>
  <c r="G91" i="6"/>
  <c r="B107" i="7"/>
  <c r="F106" i="7"/>
  <c r="C106" i="7"/>
  <c r="C107" i="7" s="1"/>
  <c r="G92" i="6" l="1"/>
  <c r="H91" i="6"/>
  <c r="D106" i="7"/>
  <c r="G106" i="7" s="1"/>
  <c r="B108" i="7"/>
  <c r="F107" i="7"/>
  <c r="C108" i="7"/>
  <c r="D108" i="7" s="1"/>
  <c r="D107" i="7"/>
  <c r="G93" i="6" l="1"/>
  <c r="H92" i="6"/>
  <c r="G107" i="7"/>
  <c r="B109" i="7"/>
  <c r="C109" i="7" s="1"/>
  <c r="F108" i="7"/>
  <c r="G108" i="7" s="1"/>
  <c r="G94" i="6" l="1"/>
  <c r="H93" i="6"/>
  <c r="B110" i="7"/>
  <c r="C110" i="7" s="1"/>
  <c r="D110" i="7" s="1"/>
  <c r="F109" i="7"/>
  <c r="D109" i="7"/>
  <c r="G109" i="7" s="1"/>
  <c r="G95" i="6" l="1"/>
  <c r="H94" i="6"/>
  <c r="F110" i="7"/>
  <c r="G110" i="7" s="1"/>
  <c r="B111" i="7"/>
  <c r="G96" i="6" l="1"/>
  <c r="H95" i="6"/>
  <c r="B112" i="7"/>
  <c r="F111" i="7"/>
  <c r="C111" i="7"/>
  <c r="H96" i="6" l="1"/>
  <c r="G97" i="6"/>
  <c r="C112" i="7"/>
  <c r="D112" i="7" s="1"/>
  <c r="D111" i="7"/>
  <c r="G111" i="7" s="1"/>
  <c r="B113" i="7"/>
  <c r="F112" i="7"/>
  <c r="H97" i="6" l="1"/>
  <c r="G98" i="6"/>
  <c r="G112" i="7"/>
  <c r="F113" i="7"/>
  <c r="B114" i="7"/>
  <c r="C113" i="7"/>
  <c r="D113" i="7" s="1"/>
  <c r="H98" i="6" l="1"/>
  <c r="G99" i="6"/>
  <c r="G113" i="7"/>
  <c r="C114" i="7"/>
  <c r="D114" i="7" s="1"/>
  <c r="B115" i="7"/>
  <c r="F114" i="7"/>
  <c r="C115" i="7"/>
  <c r="D115" i="7" s="1"/>
  <c r="H99" i="6" l="1"/>
  <c r="G100" i="6"/>
  <c r="B116" i="7"/>
  <c r="C116" i="7" s="1"/>
  <c r="F115" i="7"/>
  <c r="G115" i="7" s="1"/>
  <c r="G114" i="7"/>
  <c r="H100" i="6" l="1"/>
  <c r="J100" i="6" s="1"/>
  <c r="G101" i="6"/>
  <c r="F116" i="7"/>
  <c r="B117" i="7"/>
  <c r="C117" i="7"/>
  <c r="D116" i="7"/>
  <c r="H101" i="6" l="1"/>
  <c r="G102" i="6"/>
  <c r="G116" i="7"/>
  <c r="F117" i="7"/>
  <c r="B118" i="7"/>
  <c r="C118" i="7" s="1"/>
  <c r="D117" i="7"/>
  <c r="H102" i="6" l="1"/>
  <c r="G103" i="6"/>
  <c r="G117" i="7"/>
  <c r="F118" i="7"/>
  <c r="B119" i="7"/>
  <c r="C119" i="7" s="1"/>
  <c r="D119" i="7" s="1"/>
  <c r="D118" i="7"/>
  <c r="H103" i="6" l="1"/>
  <c r="G104" i="6"/>
  <c r="G118" i="7"/>
  <c r="F119" i="7"/>
  <c r="G119" i="7" s="1"/>
  <c r="B120" i="7"/>
  <c r="H104" i="6" l="1"/>
  <c r="G105" i="6"/>
  <c r="F120" i="7"/>
  <c r="B121" i="7"/>
  <c r="C120" i="7"/>
  <c r="C121" i="7" s="1"/>
  <c r="H105" i="6" l="1"/>
  <c r="G106" i="6"/>
  <c r="D120" i="7"/>
  <c r="G120" i="7" s="1"/>
  <c r="B122" i="7"/>
  <c r="C122" i="7" s="1"/>
  <c r="D122" i="7" s="1"/>
  <c r="F121" i="7"/>
  <c r="D121" i="7"/>
  <c r="G107" i="6" l="1"/>
  <c r="H106" i="6"/>
  <c r="G121" i="7"/>
  <c r="B123" i="7"/>
  <c r="C123" i="7" s="1"/>
  <c r="F122" i="7"/>
  <c r="G122" i="7" s="1"/>
  <c r="G108" i="6" l="1"/>
  <c r="H107" i="6"/>
  <c r="F123" i="7"/>
  <c r="B124" i="7"/>
  <c r="C124" i="7"/>
  <c r="D123" i="7"/>
  <c r="G109" i="6" l="1"/>
  <c r="H108" i="6"/>
  <c r="G123" i="7"/>
  <c r="B125" i="7"/>
  <c r="C125" i="7" s="1"/>
  <c r="F124" i="7"/>
  <c r="D124" i="7"/>
  <c r="G110" i="6" l="1"/>
  <c r="N109" i="6"/>
  <c r="H109" i="6"/>
  <c r="N106" i="6"/>
  <c r="N107" i="6"/>
  <c r="N104" i="6"/>
  <c r="N108" i="6"/>
  <c r="G124" i="7"/>
  <c r="B126" i="7"/>
  <c r="F125" i="7"/>
  <c r="D125" i="7"/>
  <c r="H110" i="6" l="1"/>
  <c r="J110" i="6" s="1"/>
  <c r="K109" i="6" s="1"/>
  <c r="K12" i="6"/>
  <c r="N11" i="6"/>
  <c r="N13" i="6"/>
  <c r="N12" i="6"/>
  <c r="K11" i="6"/>
  <c r="N15" i="6"/>
  <c r="C28" i="6"/>
  <c r="K13" i="6"/>
  <c r="N14" i="6"/>
  <c r="N17" i="6"/>
  <c r="K14" i="6"/>
  <c r="N16" i="6"/>
  <c r="N19" i="6"/>
  <c r="K18" i="6"/>
  <c r="K15" i="6"/>
  <c r="K16" i="6"/>
  <c r="K20" i="6"/>
  <c r="N18" i="6"/>
  <c r="K17" i="6"/>
  <c r="N20" i="6"/>
  <c r="K19" i="6"/>
  <c r="K21" i="6"/>
  <c r="N21" i="6"/>
  <c r="N22" i="6"/>
  <c r="K22" i="6"/>
  <c r="K25" i="6"/>
  <c r="N23" i="6"/>
  <c r="K24" i="6"/>
  <c r="N24" i="6"/>
  <c r="K23" i="6"/>
  <c r="K28" i="6"/>
  <c r="N25" i="6"/>
  <c r="N26" i="6"/>
  <c r="K26" i="6"/>
  <c r="N31" i="6"/>
  <c r="K27" i="6"/>
  <c r="N28" i="6"/>
  <c r="N27" i="6"/>
  <c r="K30" i="6"/>
  <c r="N29" i="6"/>
  <c r="K29" i="6"/>
  <c r="K33" i="6"/>
  <c r="N32" i="6"/>
  <c r="N30" i="6"/>
  <c r="K31" i="6"/>
  <c r="K34" i="6"/>
  <c r="N33" i="6"/>
  <c r="N35" i="6"/>
  <c r="N34" i="6"/>
  <c r="K32" i="6"/>
  <c r="N36" i="6"/>
  <c r="N38" i="6"/>
  <c r="K37" i="6"/>
  <c r="K35" i="6"/>
  <c r="K36" i="6"/>
  <c r="N40" i="6"/>
  <c r="N39" i="6"/>
  <c r="N37" i="6"/>
  <c r="K39" i="6"/>
  <c r="N41" i="6"/>
  <c r="K38" i="6"/>
  <c r="K40" i="6"/>
  <c r="N42" i="6"/>
  <c r="K41" i="6"/>
  <c r="N44" i="6"/>
  <c r="K42" i="6"/>
  <c r="N43" i="6"/>
  <c r="K43" i="6"/>
  <c r="N45" i="6"/>
  <c r="N47" i="6"/>
  <c r="K44" i="6"/>
  <c r="N46" i="6"/>
  <c r="K46" i="6"/>
  <c r="N50" i="6"/>
  <c r="K45" i="6"/>
  <c r="K47" i="6"/>
  <c r="N48" i="6"/>
  <c r="K49" i="6"/>
  <c r="N49" i="6"/>
  <c r="K48" i="6"/>
  <c r="N51" i="6"/>
  <c r="K50" i="6"/>
  <c r="N56" i="6"/>
  <c r="K52" i="6"/>
  <c r="N52" i="6"/>
  <c r="K51" i="6"/>
  <c r="K53" i="6"/>
  <c r="N53" i="6"/>
  <c r="N54" i="6"/>
  <c r="K55" i="6"/>
  <c r="N55" i="6"/>
  <c r="K54" i="6"/>
  <c r="N58" i="6"/>
  <c r="K59" i="6"/>
  <c r="N57" i="6"/>
  <c r="K56" i="6"/>
  <c r="K57" i="6"/>
  <c r="K60" i="6"/>
  <c r="K58" i="6"/>
  <c r="N60" i="6"/>
  <c r="N62" i="6"/>
  <c r="N59" i="6"/>
  <c r="N65" i="6"/>
  <c r="K61" i="6"/>
  <c r="N63" i="6"/>
  <c r="N61" i="6"/>
  <c r="K62" i="6"/>
  <c r="N66" i="6"/>
  <c r="K65" i="6"/>
  <c r="N64" i="6"/>
  <c r="K64" i="6"/>
  <c r="K63" i="6"/>
  <c r="N67" i="6"/>
  <c r="N70" i="6"/>
  <c r="N68" i="6"/>
  <c r="K66" i="6"/>
  <c r="K67" i="6"/>
  <c r="K70" i="6"/>
  <c r="K68" i="6"/>
  <c r="N69" i="6"/>
  <c r="K69" i="6"/>
  <c r="N72" i="6"/>
  <c r="K71" i="6"/>
  <c r="N73" i="6"/>
  <c r="N71" i="6"/>
  <c r="K73" i="6"/>
  <c r="K72" i="6"/>
  <c r="N74" i="6"/>
  <c r="N77" i="6"/>
  <c r="N75" i="6"/>
  <c r="K74" i="6"/>
  <c r="K75" i="6"/>
  <c r="N76" i="6"/>
  <c r="K76" i="6"/>
  <c r="K77" i="6"/>
  <c r="N79" i="6"/>
  <c r="N80" i="6"/>
  <c r="N78" i="6"/>
  <c r="K78" i="6"/>
  <c r="N82" i="6"/>
  <c r="K79" i="6"/>
  <c r="K80" i="6"/>
  <c r="N81" i="6"/>
  <c r="K82" i="6"/>
  <c r="K83" i="6"/>
  <c r="K84" i="6"/>
  <c r="N83" i="6"/>
  <c r="K81" i="6"/>
  <c r="N84" i="6"/>
  <c r="K86" i="6"/>
  <c r="N85" i="6"/>
  <c r="K85" i="6"/>
  <c r="N86" i="6"/>
  <c r="N87" i="6"/>
  <c r="N90" i="6"/>
  <c r="N88" i="6"/>
  <c r="K88" i="6"/>
  <c r="K87" i="6"/>
  <c r="K89" i="6"/>
  <c r="N89" i="6"/>
  <c r="K90" i="6"/>
  <c r="K93" i="6"/>
  <c r="K91" i="6"/>
  <c r="N91" i="6"/>
  <c r="K94" i="6"/>
  <c r="N93" i="6"/>
  <c r="N96" i="6"/>
  <c r="N95" i="6"/>
  <c r="N92" i="6"/>
  <c r="K95" i="6"/>
  <c r="K92" i="6"/>
  <c r="N94" i="6"/>
  <c r="K96" i="6"/>
  <c r="N98" i="6"/>
  <c r="K97" i="6"/>
  <c r="N97" i="6"/>
  <c r="N101" i="6"/>
  <c r="N99" i="6"/>
  <c r="K98" i="6"/>
  <c r="K100" i="6"/>
  <c r="N103" i="6"/>
  <c r="N100" i="6"/>
  <c r="K99" i="6"/>
  <c r="K101" i="6"/>
  <c r="N102" i="6"/>
  <c r="N105" i="6"/>
  <c r="K106" i="6"/>
  <c r="G125" i="7"/>
  <c r="F126" i="7"/>
  <c r="B127" i="7"/>
  <c r="C126" i="7"/>
  <c r="C127" i="7" s="1"/>
  <c r="L109" i="6" l="1"/>
  <c r="M109" i="6" s="1"/>
  <c r="L87" i="6"/>
  <c r="M87" i="6" s="1"/>
  <c r="O87" i="6"/>
  <c r="P87" i="6" s="1"/>
  <c r="L84" i="6"/>
  <c r="M84" i="6" s="1"/>
  <c r="L76" i="6"/>
  <c r="M76" i="6" s="1"/>
  <c r="L70" i="6"/>
  <c r="M70" i="6" s="1"/>
  <c r="L59" i="6"/>
  <c r="M59" i="6" s="1"/>
  <c r="L51" i="6"/>
  <c r="M51" i="6" s="1"/>
  <c r="O51" i="6"/>
  <c r="P51" i="6" s="1"/>
  <c r="L49" i="6"/>
  <c r="M49" i="6" s="1"/>
  <c r="L40" i="6"/>
  <c r="M40" i="6" s="1"/>
  <c r="O40" i="6"/>
  <c r="P40" i="6" s="1"/>
  <c r="L32" i="6"/>
  <c r="M32" i="6" s="1"/>
  <c r="L33" i="6"/>
  <c r="M33" i="6" s="1"/>
  <c r="O33" i="6"/>
  <c r="P33" i="6" s="1"/>
  <c r="L23" i="6"/>
  <c r="M23" i="6" s="1"/>
  <c r="L21" i="6"/>
  <c r="M21" i="6" s="1"/>
  <c r="O21" i="6"/>
  <c r="P21" i="6" s="1"/>
  <c r="L96" i="6"/>
  <c r="M96" i="6" s="1"/>
  <c r="O96" i="6"/>
  <c r="P96" i="6" s="1"/>
  <c r="L90" i="6"/>
  <c r="M90" i="6" s="1"/>
  <c r="O90" i="6"/>
  <c r="P90" i="6" s="1"/>
  <c r="L83" i="6"/>
  <c r="M83" i="6" s="1"/>
  <c r="L69" i="6"/>
  <c r="M69" i="6" s="1"/>
  <c r="O69" i="6"/>
  <c r="P69" i="6" s="1"/>
  <c r="L65" i="6"/>
  <c r="M65" i="6" s="1"/>
  <c r="L46" i="6"/>
  <c r="M46" i="6" s="1"/>
  <c r="O46" i="6"/>
  <c r="P46" i="6" s="1"/>
  <c r="L38" i="6"/>
  <c r="M38" i="6" s="1"/>
  <c r="O38" i="6"/>
  <c r="P38" i="6" s="1"/>
  <c r="L29" i="6"/>
  <c r="M29" i="6" s="1"/>
  <c r="L19" i="6"/>
  <c r="M19" i="6" s="1"/>
  <c r="O19" i="6"/>
  <c r="P19" i="6" s="1"/>
  <c r="L20" i="6"/>
  <c r="M20" i="6" s="1"/>
  <c r="L11" i="6"/>
  <c r="M11" i="6" s="1"/>
  <c r="L12" i="6"/>
  <c r="M12" i="6" s="1"/>
  <c r="L101" i="6"/>
  <c r="M101" i="6" s="1"/>
  <c r="L100" i="6"/>
  <c r="M100" i="6" s="1"/>
  <c r="L85" i="6"/>
  <c r="M85" i="6" s="1"/>
  <c r="L81" i="6"/>
  <c r="M81" i="6" s="1"/>
  <c r="L82" i="6"/>
  <c r="M82" i="6" s="1"/>
  <c r="O82" i="6"/>
  <c r="P82" i="6" s="1"/>
  <c r="L75" i="6"/>
  <c r="M75" i="6" s="1"/>
  <c r="O75" i="6"/>
  <c r="P75" i="6" s="1"/>
  <c r="L66" i="6"/>
  <c r="M66" i="6" s="1"/>
  <c r="O66" i="6"/>
  <c r="P66" i="6" s="1"/>
  <c r="L63" i="6"/>
  <c r="M63" i="6" s="1"/>
  <c r="O63" i="6"/>
  <c r="P63" i="6" s="1"/>
  <c r="L61" i="6"/>
  <c r="M61" i="6" s="1"/>
  <c r="O61" i="6"/>
  <c r="P61" i="6" s="1"/>
  <c r="L56" i="6"/>
  <c r="M56" i="6" s="1"/>
  <c r="O56" i="6"/>
  <c r="P56" i="6" s="1"/>
  <c r="L54" i="6"/>
  <c r="M54" i="6" s="1"/>
  <c r="O54" i="6"/>
  <c r="P54" i="6" s="1"/>
  <c r="L52" i="6"/>
  <c r="M52" i="6" s="1"/>
  <c r="L48" i="6"/>
  <c r="M48" i="6" s="1"/>
  <c r="L47" i="6"/>
  <c r="M47" i="6" s="1"/>
  <c r="L43" i="6"/>
  <c r="M43" i="6" s="1"/>
  <c r="L41" i="6"/>
  <c r="M41" i="6" s="1"/>
  <c r="L27" i="6"/>
  <c r="M27" i="6" s="1"/>
  <c r="O27" i="6"/>
  <c r="P27" i="6" s="1"/>
  <c r="L24" i="6"/>
  <c r="M24" i="6" s="1"/>
  <c r="L16" i="6"/>
  <c r="M16" i="6" s="1"/>
  <c r="O16" i="6"/>
  <c r="P16" i="6" s="1"/>
  <c r="L13" i="6"/>
  <c r="M13" i="6" s="1"/>
  <c r="L95" i="6"/>
  <c r="M95" i="6" s="1"/>
  <c r="L93" i="6"/>
  <c r="M93" i="6" s="1"/>
  <c r="L86" i="6"/>
  <c r="M86" i="6" s="1"/>
  <c r="O86" i="6"/>
  <c r="P86" i="6" s="1"/>
  <c r="L80" i="6"/>
  <c r="M80" i="6" s="1"/>
  <c r="L73" i="6"/>
  <c r="M73" i="6" s="1"/>
  <c r="O73" i="6"/>
  <c r="P73" i="6" s="1"/>
  <c r="O60" i="6"/>
  <c r="P60" i="6" s="1"/>
  <c r="L60" i="6"/>
  <c r="M60" i="6" s="1"/>
  <c r="L55" i="6"/>
  <c r="M55" i="6" s="1"/>
  <c r="O55" i="6"/>
  <c r="P55" i="6" s="1"/>
  <c r="L50" i="6"/>
  <c r="M50" i="6" s="1"/>
  <c r="L42" i="6"/>
  <c r="M42" i="6" s="1"/>
  <c r="O42" i="6"/>
  <c r="P42" i="6" s="1"/>
  <c r="L35" i="6"/>
  <c r="M35" i="6" s="1"/>
  <c r="L34" i="6"/>
  <c r="M34" i="6" s="1"/>
  <c r="O34" i="6"/>
  <c r="P34" i="6" s="1"/>
  <c r="O26" i="6"/>
  <c r="P26" i="6" s="1"/>
  <c r="L26" i="6"/>
  <c r="M26" i="6" s="1"/>
  <c r="L25" i="6"/>
  <c r="M25" i="6" s="1"/>
  <c r="O25" i="6"/>
  <c r="P25" i="6" s="1"/>
  <c r="O18" i="6"/>
  <c r="P18" i="6" s="1"/>
  <c r="L18" i="6"/>
  <c r="M18" i="6" s="1"/>
  <c r="L94" i="6"/>
  <c r="M94" i="6" s="1"/>
  <c r="O88" i="6"/>
  <c r="P88" i="6" s="1"/>
  <c r="L88" i="6"/>
  <c r="M88" i="6" s="1"/>
  <c r="L79" i="6"/>
  <c r="M79" i="6" s="1"/>
  <c r="L67" i="6"/>
  <c r="M67" i="6" s="1"/>
  <c r="L57" i="6"/>
  <c r="M57" i="6" s="1"/>
  <c r="O37" i="6"/>
  <c r="P37" i="6" s="1"/>
  <c r="L37" i="6"/>
  <c r="M37" i="6" s="1"/>
  <c r="L31" i="6"/>
  <c r="M31" i="6" s="1"/>
  <c r="L22" i="6"/>
  <c r="M22" i="6" s="1"/>
  <c r="L106" i="6"/>
  <c r="M106" i="6" s="1"/>
  <c r="O99" i="6"/>
  <c r="P99" i="6" s="1"/>
  <c r="L99" i="6"/>
  <c r="M99" i="6" s="1"/>
  <c r="L98" i="6"/>
  <c r="M98" i="6" s="1"/>
  <c r="O98" i="6"/>
  <c r="P98" i="6" s="1"/>
  <c r="O97" i="6"/>
  <c r="P97" i="6" s="1"/>
  <c r="L97" i="6"/>
  <c r="M97" i="6" s="1"/>
  <c r="L92" i="6"/>
  <c r="M92" i="6" s="1"/>
  <c r="O92" i="6"/>
  <c r="P92" i="6" s="1"/>
  <c r="O91" i="6"/>
  <c r="P91" i="6" s="1"/>
  <c r="L91" i="6"/>
  <c r="M91" i="6" s="1"/>
  <c r="L89" i="6"/>
  <c r="M89" i="6" s="1"/>
  <c r="O89" i="6"/>
  <c r="P89" i="6" s="1"/>
  <c r="L78" i="6"/>
  <c r="M78" i="6" s="1"/>
  <c r="L77" i="6"/>
  <c r="M77" i="6" s="1"/>
  <c r="O74" i="6"/>
  <c r="P74" i="6" s="1"/>
  <c r="L74" i="6"/>
  <c r="M74" i="6" s="1"/>
  <c r="L72" i="6"/>
  <c r="M72" i="6" s="1"/>
  <c r="O72" i="6"/>
  <c r="P72" i="6" s="1"/>
  <c r="L71" i="6"/>
  <c r="M71" i="6" s="1"/>
  <c r="L68" i="6"/>
  <c r="M68" i="6" s="1"/>
  <c r="L64" i="6"/>
  <c r="M64" i="6" s="1"/>
  <c r="L62" i="6"/>
  <c r="M62" i="6" s="1"/>
  <c r="O62" i="6"/>
  <c r="P62" i="6" s="1"/>
  <c r="O58" i="6"/>
  <c r="P58" i="6" s="1"/>
  <c r="L58" i="6"/>
  <c r="M58" i="6" s="1"/>
  <c r="L53" i="6"/>
  <c r="M53" i="6" s="1"/>
  <c r="O53" i="6"/>
  <c r="P53" i="6" s="1"/>
  <c r="O45" i="6"/>
  <c r="P45" i="6" s="1"/>
  <c r="L45" i="6"/>
  <c r="M45" i="6" s="1"/>
  <c r="L44" i="6"/>
  <c r="M44" i="6" s="1"/>
  <c r="O44" i="6"/>
  <c r="P44" i="6" s="1"/>
  <c r="O39" i="6"/>
  <c r="P39" i="6" s="1"/>
  <c r="L39" i="6"/>
  <c r="M39" i="6" s="1"/>
  <c r="L36" i="6"/>
  <c r="M36" i="6" s="1"/>
  <c r="O36" i="6"/>
  <c r="P36" i="6" s="1"/>
  <c r="O30" i="6"/>
  <c r="P30" i="6" s="1"/>
  <c r="L30" i="6"/>
  <c r="M30" i="6" s="1"/>
  <c r="L28" i="6"/>
  <c r="M28" i="6" s="1"/>
  <c r="O28" i="6"/>
  <c r="P28" i="6" s="1"/>
  <c r="O17" i="6"/>
  <c r="P17" i="6" s="1"/>
  <c r="L17" i="6"/>
  <c r="M17" i="6" s="1"/>
  <c r="L15" i="6"/>
  <c r="M15" i="6" s="1"/>
  <c r="L14" i="6"/>
  <c r="M14" i="6" s="1"/>
  <c r="P10" i="6"/>
  <c r="K108" i="6"/>
  <c r="K102" i="6"/>
  <c r="K104" i="6"/>
  <c r="K105" i="6"/>
  <c r="K103" i="6"/>
  <c r="K107" i="6"/>
  <c r="D126" i="7"/>
  <c r="G126" i="7"/>
  <c r="F127" i="7"/>
  <c r="B128" i="7"/>
  <c r="D127" i="7"/>
  <c r="O102" i="6" l="1"/>
  <c r="P102" i="6" s="1"/>
  <c r="L102" i="6"/>
  <c r="M102" i="6" s="1"/>
  <c r="O14" i="6"/>
  <c r="P14" i="6" s="1"/>
  <c r="O64" i="6"/>
  <c r="P64" i="6" s="1"/>
  <c r="O71" i="6"/>
  <c r="P71" i="6" s="1"/>
  <c r="O78" i="6"/>
  <c r="P78" i="6" s="1"/>
  <c r="O22" i="6"/>
  <c r="P22" i="6" s="1"/>
  <c r="O67" i="6"/>
  <c r="P67" i="6" s="1"/>
  <c r="O35" i="6"/>
  <c r="P35" i="6" s="1"/>
  <c r="O50" i="6"/>
  <c r="P50" i="6" s="1"/>
  <c r="O80" i="6"/>
  <c r="P80" i="6" s="1"/>
  <c r="O93" i="6"/>
  <c r="P93" i="6" s="1"/>
  <c r="O13" i="6"/>
  <c r="P13" i="6" s="1"/>
  <c r="O24" i="6"/>
  <c r="P24" i="6" s="1"/>
  <c r="L105" i="6"/>
  <c r="M105" i="6" s="1"/>
  <c r="L104" i="6"/>
  <c r="M104" i="6" s="1"/>
  <c r="O15" i="6"/>
  <c r="P15" i="6" s="1"/>
  <c r="O68" i="6"/>
  <c r="P68" i="6" s="1"/>
  <c r="O77" i="6"/>
  <c r="P77" i="6" s="1"/>
  <c r="O106" i="6"/>
  <c r="P106" i="6" s="1"/>
  <c r="O31" i="6"/>
  <c r="P31" i="6" s="1"/>
  <c r="O57" i="6"/>
  <c r="P57" i="6" s="1"/>
  <c r="O79" i="6"/>
  <c r="P79" i="6" s="1"/>
  <c r="O94" i="6"/>
  <c r="P94" i="6" s="1"/>
  <c r="O95" i="6"/>
  <c r="P95" i="6" s="1"/>
  <c r="O43" i="6"/>
  <c r="P43" i="6" s="1"/>
  <c r="O48" i="6"/>
  <c r="P48" i="6" s="1"/>
  <c r="O85" i="6"/>
  <c r="P85" i="6" s="1"/>
  <c r="O101" i="6"/>
  <c r="P101" i="6" s="1"/>
  <c r="O11" i="6"/>
  <c r="P11" i="6" s="1"/>
  <c r="O65" i="6"/>
  <c r="P65" i="6" s="1"/>
  <c r="O83" i="6"/>
  <c r="P83" i="6" s="1"/>
  <c r="O23" i="6"/>
  <c r="P23" i="6" s="1"/>
  <c r="O32" i="6"/>
  <c r="P32" i="6" s="1"/>
  <c r="O49" i="6"/>
  <c r="P49" i="6" s="1"/>
  <c r="O59" i="6"/>
  <c r="P59" i="6" s="1"/>
  <c r="O76" i="6"/>
  <c r="P76" i="6" s="1"/>
  <c r="L107" i="6"/>
  <c r="M107" i="6" s="1"/>
  <c r="L103" i="6"/>
  <c r="M103" i="6" s="1"/>
  <c r="O103" i="6"/>
  <c r="P103" i="6" s="1"/>
  <c r="L108" i="6"/>
  <c r="M108" i="6" s="1"/>
  <c r="O41" i="6"/>
  <c r="P41" i="6" s="1"/>
  <c r="O47" i="6"/>
  <c r="P47" i="6" s="1"/>
  <c r="O52" i="6"/>
  <c r="P52" i="6" s="1"/>
  <c r="O81" i="6"/>
  <c r="P81" i="6" s="1"/>
  <c r="O100" i="6"/>
  <c r="P100" i="6" s="1"/>
  <c r="O12" i="6"/>
  <c r="P12" i="6" s="1"/>
  <c r="O20" i="6"/>
  <c r="P20" i="6" s="1"/>
  <c r="O29" i="6"/>
  <c r="P29" i="6" s="1"/>
  <c r="O70" i="6"/>
  <c r="P70" i="6" s="1"/>
  <c r="O84" i="6"/>
  <c r="P84" i="6" s="1"/>
  <c r="O109" i="6"/>
  <c r="P109" i="6" s="1"/>
  <c r="G127" i="7"/>
  <c r="B129" i="7"/>
  <c r="F128" i="7"/>
  <c r="C128" i="7"/>
  <c r="D128" i="7" s="1"/>
  <c r="G128" i="7" s="1"/>
  <c r="O108" i="6" l="1"/>
  <c r="P108" i="6" s="1"/>
  <c r="O107" i="6"/>
  <c r="P107" i="6" s="1"/>
  <c r="O105" i="6"/>
  <c r="P105" i="6" s="1"/>
  <c r="C29" i="6" s="1"/>
  <c r="C30" i="6" s="1"/>
  <c r="O104" i="6"/>
  <c r="P104" i="6" s="1"/>
  <c r="B130" i="7"/>
  <c r="F129" i="7"/>
  <c r="C129" i="7"/>
  <c r="C130" i="7" l="1"/>
  <c r="D129" i="7"/>
  <c r="G129" i="7" s="1"/>
  <c r="B131" i="7"/>
  <c r="F130" i="7"/>
  <c r="C131" i="7" l="1"/>
  <c r="D131" i="7" s="1"/>
  <c r="D130" i="7"/>
  <c r="G130" i="7" s="1"/>
  <c r="F131" i="7"/>
  <c r="B132" i="7"/>
  <c r="C132" i="7" s="1"/>
  <c r="D132" i="7" s="1"/>
  <c r="G131" i="7" l="1"/>
  <c r="F132" i="7"/>
  <c r="G132" i="7" s="1"/>
  <c r="B133" i="7"/>
  <c r="B134" i="7" l="1"/>
  <c r="F133" i="7"/>
  <c r="C133" i="7"/>
  <c r="D133" i="7" s="1"/>
  <c r="G133" i="7" s="1"/>
  <c r="C134" i="7" l="1"/>
  <c r="D134" i="7" s="1"/>
  <c r="G134" i="7" s="1"/>
  <c r="F134" i="7"/>
  <c r="B135" i="7"/>
  <c r="C135" i="7" l="1"/>
  <c r="D135" i="7" s="1"/>
  <c r="B136" i="7"/>
  <c r="F135" i="7"/>
  <c r="C136" i="7" l="1"/>
  <c r="D136" i="7" s="1"/>
  <c r="G135" i="7"/>
  <c r="F136" i="7"/>
  <c r="B137" i="7"/>
  <c r="C137" i="7" l="1"/>
  <c r="D137" i="7" s="1"/>
  <c r="G137" i="7" s="1"/>
  <c r="G136" i="7"/>
  <c r="B138" i="7"/>
  <c r="F137" i="7"/>
  <c r="C138" i="7" l="1"/>
  <c r="D138" i="7" s="1"/>
  <c r="F138" i="7"/>
  <c r="B139" i="7"/>
  <c r="C139" i="7" l="1"/>
  <c r="D139" i="7" s="1"/>
  <c r="G138" i="7"/>
  <c r="F139" i="7"/>
  <c r="B140" i="7"/>
  <c r="B141" i="7" l="1"/>
  <c r="F140" i="7"/>
  <c r="C140" i="7"/>
  <c r="D140" i="7" s="1"/>
  <c r="G140" i="7" s="1"/>
  <c r="G139" i="7"/>
  <c r="C141" i="7" l="1"/>
  <c r="D141" i="7" s="1"/>
  <c r="F141" i="7"/>
  <c r="B142" i="7"/>
  <c r="G141" i="7" l="1"/>
  <c r="C142" i="7"/>
  <c r="F142" i="7"/>
  <c r="B143" i="7"/>
  <c r="F143" i="7" l="1"/>
  <c r="B144" i="7"/>
  <c r="C143" i="7"/>
  <c r="D143" i="7" s="1"/>
  <c r="D142" i="7"/>
  <c r="G142" i="7" s="1"/>
  <c r="G143" i="7" l="1"/>
  <c r="C144" i="7"/>
  <c r="D144" i="7" s="1"/>
  <c r="F144" i="7"/>
  <c r="B145" i="7"/>
  <c r="C145" i="7" l="1"/>
  <c r="D145" i="7" s="1"/>
  <c r="G144" i="7"/>
  <c r="F145" i="7"/>
  <c r="B146" i="7"/>
  <c r="G145" i="7" l="1"/>
  <c r="F146" i="7"/>
  <c r="B147" i="7"/>
  <c r="C146" i="7"/>
  <c r="D146" i="7" s="1"/>
  <c r="G146" i="7" s="1"/>
  <c r="C147" i="7" l="1"/>
  <c r="D147" i="7" s="1"/>
  <c r="F147" i="7"/>
  <c r="B148" i="7"/>
  <c r="G147" i="7" l="1"/>
  <c r="C148" i="7"/>
  <c r="D148" i="7" s="1"/>
  <c r="B149" i="7"/>
  <c r="F148" i="7"/>
  <c r="C149" i="7" l="1"/>
  <c r="D149" i="7" s="1"/>
  <c r="G148" i="7"/>
  <c r="F149" i="7"/>
  <c r="B150" i="7"/>
  <c r="F150" i="7" s="1"/>
  <c r="G149" i="7" l="1"/>
  <c r="C150" i="7"/>
  <c r="D150" i="7" s="1"/>
  <c r="G150" i="7" s="1"/>
  <c r="C20" i="7" l="1"/>
  <c r="C22" i="7" l="1"/>
</calcChain>
</file>

<file path=xl/comments1.xml><?xml version="1.0" encoding="utf-8"?>
<comments xmlns="http://schemas.openxmlformats.org/spreadsheetml/2006/main">
  <authors>
    <author>Jon Gregory</author>
    <author>jon</author>
  </authors>
  <commentList>
    <comment ref="B14" authorId="0">
      <text>
        <r>
          <rPr>
            <sz val="8"/>
            <color indexed="81"/>
            <rFont val="Tahoma"/>
            <family val="2"/>
          </rPr>
          <t xml:space="preserve">approximation described in appendix 12B
</t>
        </r>
      </text>
    </comment>
    <comment ref="B19" authorId="0">
      <text>
        <r>
          <rPr>
            <sz val="8"/>
            <color indexed="81"/>
            <rFont val="Tahoma"/>
            <family val="2"/>
          </rPr>
          <t xml:space="preserve">calculation described in appendix 12B
</t>
        </r>
      </text>
    </comment>
    <comment ref="O23" authorId="1">
      <text>
        <r>
          <rPr>
            <b/>
            <sz val="9"/>
            <color indexed="81"/>
            <rFont val="Tahoma"/>
            <family val="2"/>
          </rPr>
          <t>The hazard rates can be put here in P24:P28 as calculated in sheet 10.2 for example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sz val="8"/>
            <color indexed="81"/>
            <rFont val="Tahoma"/>
            <family val="2"/>
          </rPr>
          <t xml:space="preserve">Marginal default probability every 10 business days. This could be calculated from spreadsheet 10.2 more accurately
</t>
        </r>
      </text>
    </comment>
    <comment ref="E24" authorId="0">
      <text>
        <r>
          <rPr>
            <sz val="8"/>
            <color indexed="81"/>
            <rFont val="Tahoma"/>
            <family val="2"/>
          </rPr>
          <t xml:space="preserve">This is a typically interest rate swap EE profile. 
</t>
        </r>
      </text>
    </comment>
  </commentList>
</comments>
</file>

<file path=xl/sharedStrings.xml><?xml version="1.0" encoding="utf-8"?>
<sst xmlns="http://schemas.openxmlformats.org/spreadsheetml/2006/main" count="57" uniqueCount="47">
  <si>
    <t>Parameters</t>
  </si>
  <si>
    <t>EE</t>
  </si>
  <si>
    <t>EPE</t>
  </si>
  <si>
    <t>Counterparty Recovery</t>
  </si>
  <si>
    <t>Interest rate</t>
  </si>
  <si>
    <t>Approx Calculation</t>
  </si>
  <si>
    <t>Counterparty 5Y Spread</t>
  </si>
  <si>
    <t>CVA (as a spread)</t>
  </si>
  <si>
    <t>Accurate Calculation</t>
  </si>
  <si>
    <t>CVA</t>
  </si>
  <si>
    <t>5Y Risky Duration</t>
  </si>
  <si>
    <t>Cntpty Survives</t>
  </si>
  <si>
    <t>Disc Factor</t>
  </si>
  <si>
    <t>Swap Rate</t>
  </si>
  <si>
    <t>Volatility</t>
  </si>
  <si>
    <t>Interest rates</t>
  </si>
  <si>
    <t>1Y</t>
  </si>
  <si>
    <t>2Y</t>
  </si>
  <si>
    <t>3Y</t>
  </si>
  <si>
    <t>4Y</t>
  </si>
  <si>
    <t>5Y</t>
  </si>
  <si>
    <t>Disc Fact</t>
  </si>
  <si>
    <t>Fwd Rate</t>
  </si>
  <si>
    <t>Fixed Leg</t>
  </si>
  <si>
    <t>Floating Leg</t>
  </si>
  <si>
    <t>Fwd Swap Rate</t>
  </si>
  <si>
    <t>d1</t>
  </si>
  <si>
    <t>DV01</t>
  </si>
  <si>
    <t>d2</t>
  </si>
  <si>
    <t>Pay/Rec</t>
  </si>
  <si>
    <t>Spd payoff</t>
  </si>
  <si>
    <t>Swaption</t>
  </si>
  <si>
    <t>Survival Prob</t>
  </si>
  <si>
    <t>Def Prob</t>
  </si>
  <si>
    <t>CDS Premium</t>
  </si>
  <si>
    <t xml:space="preserve">Recovery </t>
  </si>
  <si>
    <t>Swap Details</t>
  </si>
  <si>
    <t>Risk-free MtM</t>
  </si>
  <si>
    <t>Risky MtM</t>
  </si>
  <si>
    <t>Other parameters</t>
  </si>
  <si>
    <t>Results</t>
  </si>
  <si>
    <t>S</t>
  </si>
  <si>
    <t xml:space="preserve">Fixed Freq </t>
  </si>
  <si>
    <t>Floating Freq</t>
  </si>
  <si>
    <t>Hazard Rates</t>
  </si>
  <si>
    <t xml:space="preserve"> </t>
  </si>
  <si>
    <t>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</si>
</sst>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0"/>
    <numFmt numFmtId="172" formatCode="0.0000"/>
    <numFmt numFmtId="173" formatCode="0.0"/>
    <numFmt numFmtId="174" formatCode="0.000%"/>
    <numFmt numFmtId="175" formatCode="_-* #,##0.000_-;\-* #,##0.000_-;_-* &quot;-&quot;??_-;_-@_-"/>
    <numFmt numFmtId="176" formatCode="_-* #,##0_-;\-* #,##0_-;_-* &quot;-&quot;??_-;_-@_-"/>
  </numFmts>
  <fonts count="3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22" borderId="3" applyNumberFormat="0" applyFont="0" applyBorder="0" applyAlignment="0" applyProtection="0">
      <alignment horizontal="centerContinuous"/>
    </xf>
    <xf numFmtId="0" fontId="8" fillId="23" borderId="4" applyNumberFormat="0" applyBorder="0">
      <alignment horizontal="left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alignment horizontal="centerContinuous"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>
      <alignment horizontal="right"/>
    </xf>
    <xf numFmtId="0" fontId="17" fillId="25" borderId="0" applyNumberFormat="0" applyBorder="0" applyAlignment="0" applyProtection="0"/>
    <xf numFmtId="0" fontId="1" fillId="0" borderId="0"/>
    <xf numFmtId="0" fontId="2" fillId="26" borderId="10" applyNumberFormat="0" applyFont="0" applyAlignment="0" applyProtection="0"/>
    <xf numFmtId="0" fontId="18" fillId="20" borderId="11" applyNumberFormat="0" applyAlignment="0" applyProtection="0"/>
    <xf numFmtId="9" fontId="1" fillId="0" borderId="0" applyFont="0" applyFill="0" applyBorder="0" applyAlignment="0" applyProtection="0"/>
    <xf numFmtId="0" fontId="19" fillId="27" borderId="12">
      <alignment horizontal="center"/>
    </xf>
    <xf numFmtId="0" fontId="1" fillId="0" borderId="0">
      <alignment horizontal="left" wrapText="1"/>
    </xf>
    <xf numFmtId="0" fontId="20" fillId="0" borderId="0">
      <alignment horizontal="center"/>
    </xf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>
      <alignment horizontal="right"/>
    </xf>
    <xf numFmtId="169" fontId="1" fillId="0" borderId="0">
      <alignment horizontal="center"/>
    </xf>
  </cellStyleXfs>
  <cellXfs count="85">
    <xf numFmtId="0" fontId="0" fillId="0" borderId="0" xfId="0"/>
    <xf numFmtId="0" fontId="1" fillId="27" borderId="0" xfId="46" applyFill="1"/>
    <xf numFmtId="9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0" fillId="0" borderId="0" xfId="0" applyNumberFormat="1"/>
    <xf numFmtId="172" fontId="0" fillId="0" borderId="0" xfId="0" applyNumberFormat="1"/>
    <xf numFmtId="170" fontId="1" fillId="0" borderId="0" xfId="49" applyNumberFormat="1"/>
    <xf numFmtId="0" fontId="0" fillId="0" borderId="0" xfId="0" applyBorder="1"/>
    <xf numFmtId="10" fontId="0" fillId="0" borderId="0" xfId="0" applyNumberFormat="1"/>
    <xf numFmtId="0" fontId="0" fillId="0" borderId="17" xfId="0" applyBorder="1"/>
    <xf numFmtId="0" fontId="0" fillId="0" borderId="18" xfId="0" applyBorder="1"/>
    <xf numFmtId="0" fontId="25" fillId="0" borderId="17" xfId="0" applyFont="1" applyBorder="1"/>
    <xf numFmtId="0" fontId="0" fillId="0" borderId="21" xfId="0" applyBorder="1"/>
    <xf numFmtId="174" fontId="29" fillId="0" borderId="0" xfId="49" applyNumberFormat="1" applyFont="1"/>
    <xf numFmtId="0" fontId="0" fillId="0" borderId="16" xfId="0" applyFill="1" applyBorder="1"/>
    <xf numFmtId="0" fontId="25" fillId="0" borderId="14" xfId="0" applyFont="1" applyBorder="1"/>
    <xf numFmtId="0" fontId="29" fillId="0" borderId="22" xfId="0" applyFont="1" applyBorder="1"/>
    <xf numFmtId="0" fontId="0" fillId="0" borderId="15" xfId="0" applyFill="1" applyBorder="1"/>
    <xf numFmtId="43" fontId="1" fillId="0" borderId="0" xfId="28"/>
    <xf numFmtId="175" fontId="1" fillId="0" borderId="0" xfId="28" applyNumberFormat="1"/>
    <xf numFmtId="174" fontId="0" fillId="0" borderId="0" xfId="0" applyNumberFormat="1"/>
    <xf numFmtId="174" fontId="1" fillId="0" borderId="0" xfId="49" applyNumberFormat="1"/>
    <xf numFmtId="0" fontId="0" fillId="0" borderId="23" xfId="0" applyBorder="1"/>
    <xf numFmtId="2" fontId="0" fillId="0" borderId="15" xfId="0" applyNumberFormat="1" applyBorder="1"/>
    <xf numFmtId="10" fontId="1" fillId="0" borderId="24" xfId="49" applyNumberFormat="1" applyBorder="1"/>
    <xf numFmtId="174" fontId="0" fillId="0" borderId="24" xfId="0" applyNumberFormat="1" applyBorder="1"/>
    <xf numFmtId="0" fontId="0" fillId="0" borderId="24" xfId="0" applyBorder="1"/>
    <xf numFmtId="0" fontId="0" fillId="0" borderId="25" xfId="0" applyBorder="1"/>
    <xf numFmtId="10" fontId="1" fillId="0" borderId="26" xfId="49" applyNumberFormat="1" applyBorder="1"/>
    <xf numFmtId="10" fontId="0" fillId="0" borderId="0" xfId="0" applyNumberFormat="1" applyBorder="1"/>
    <xf numFmtId="174" fontId="0" fillId="0" borderId="26" xfId="0" applyNumberFormat="1" applyBorder="1"/>
    <xf numFmtId="174" fontId="0" fillId="0" borderId="27" xfId="0" applyNumberFormat="1" applyBorder="1"/>
    <xf numFmtId="171" fontId="0" fillId="0" borderId="26" xfId="0" applyNumberFormat="1" applyBorder="1"/>
    <xf numFmtId="174" fontId="1" fillId="0" borderId="25" xfId="49" applyNumberFormat="1" applyBorder="1"/>
    <xf numFmtId="2" fontId="0" fillId="0" borderId="16" xfId="0" applyNumberFormat="1" applyBorder="1"/>
    <xf numFmtId="10" fontId="1" fillId="0" borderId="27" xfId="49" applyNumberFormat="1" applyBorder="1"/>
    <xf numFmtId="10" fontId="0" fillId="0" borderId="28" xfId="0" applyNumberFormat="1" applyBorder="1"/>
    <xf numFmtId="171" fontId="0" fillId="0" borderId="27" xfId="0" applyNumberFormat="1" applyBorder="1"/>
    <xf numFmtId="174" fontId="1" fillId="0" borderId="29" xfId="49" applyNumberFormat="1" applyBorder="1"/>
    <xf numFmtId="2" fontId="0" fillId="0" borderId="0" xfId="0" applyNumberFormat="1" applyBorder="1"/>
    <xf numFmtId="10" fontId="1" fillId="0" borderId="0" xfId="49" applyNumberFormat="1" applyBorder="1"/>
    <xf numFmtId="173" fontId="0" fillId="0" borderId="0" xfId="0" applyNumberFormat="1" applyBorder="1"/>
    <xf numFmtId="171" fontId="0" fillId="0" borderId="0" xfId="0" applyNumberFormat="1" applyBorder="1"/>
    <xf numFmtId="174" fontId="1" fillId="0" borderId="0" xfId="49" applyNumberFormat="1" applyBorder="1"/>
    <xf numFmtId="10" fontId="0" fillId="0" borderId="0" xfId="49" applyNumberFormat="1" applyFont="1"/>
    <xf numFmtId="174" fontId="0" fillId="0" borderId="0" xfId="49" applyNumberFormat="1" applyFont="1"/>
    <xf numFmtId="171" fontId="0" fillId="0" borderId="0" xfId="0" applyNumberFormat="1"/>
    <xf numFmtId="174" fontId="0" fillId="0" borderId="25" xfId="49" applyNumberFormat="1" applyFont="1" applyBorder="1"/>
    <xf numFmtId="172" fontId="0" fillId="0" borderId="0" xfId="0" applyNumberFormat="1" applyBorder="1"/>
    <xf numFmtId="10" fontId="0" fillId="0" borderId="0" xfId="49" applyNumberFormat="1" applyFont="1" applyBorder="1"/>
    <xf numFmtId="174" fontId="0" fillId="0" borderId="0" xfId="49" applyNumberFormat="1" applyFont="1" applyBorder="1"/>
    <xf numFmtId="172" fontId="0" fillId="0" borderId="28" xfId="0" applyNumberFormat="1" applyBorder="1"/>
    <xf numFmtId="10" fontId="0" fillId="0" borderId="28" xfId="49" applyNumberFormat="1" applyFont="1" applyBorder="1"/>
    <xf numFmtId="0" fontId="0" fillId="0" borderId="28" xfId="0" applyBorder="1"/>
    <xf numFmtId="174" fontId="0" fillId="0" borderId="29" xfId="49" applyNumberFormat="1" applyFont="1" applyBorder="1"/>
    <xf numFmtId="172" fontId="0" fillId="0" borderId="26" xfId="0" applyNumberFormat="1" applyBorder="1"/>
    <xf numFmtId="172" fontId="0" fillId="0" borderId="27" xfId="0" applyNumberFormat="1" applyBorder="1"/>
    <xf numFmtId="174" fontId="0" fillId="0" borderId="26" xfId="49" applyNumberFormat="1" applyFont="1" applyBorder="1"/>
    <xf numFmtId="174" fontId="0" fillId="0" borderId="27" xfId="49" applyNumberFormat="1" applyFont="1" applyBorder="1"/>
    <xf numFmtId="0" fontId="0" fillId="0" borderId="26" xfId="0" applyBorder="1"/>
    <xf numFmtId="0" fontId="0" fillId="0" borderId="27" xfId="0" applyBorder="1"/>
    <xf numFmtId="2" fontId="28" fillId="0" borderId="0" xfId="0" applyNumberFormat="1" applyFont="1" applyProtection="1"/>
    <xf numFmtId="10" fontId="31" fillId="0" borderId="0" xfId="49" applyNumberFormat="1" applyFont="1"/>
    <xf numFmtId="176" fontId="0" fillId="0" borderId="0" xfId="28" applyNumberFormat="1" applyFont="1"/>
    <xf numFmtId="0" fontId="30" fillId="0" borderId="0" xfId="0" applyFont="1"/>
    <xf numFmtId="9" fontId="34" fillId="0" borderId="19" xfId="0" applyNumberFormat="1" applyFont="1" applyBorder="1" applyProtection="1">
      <protection locked="0"/>
    </xf>
    <xf numFmtId="9" fontId="34" fillId="0" borderId="20" xfId="0" applyNumberFormat="1" applyFont="1" applyBorder="1" applyProtection="1">
      <protection locked="0"/>
    </xf>
    <xf numFmtId="1" fontId="34" fillId="0" borderId="19" xfId="49" applyNumberFormat="1" applyFont="1" applyBorder="1" applyAlignment="1" applyProtection="1">
      <alignment horizontal="right"/>
      <protection locked="0"/>
    </xf>
    <xf numFmtId="10" fontId="34" fillId="0" borderId="19" xfId="0" applyNumberFormat="1" applyFont="1" applyBorder="1" applyAlignment="1" applyProtection="1">
      <alignment horizontal="right"/>
      <protection locked="0"/>
    </xf>
    <xf numFmtId="0" fontId="34" fillId="0" borderId="30" xfId="0" applyFont="1" applyBorder="1" applyAlignment="1" applyProtection="1">
      <alignment horizontal="right"/>
      <protection locked="0"/>
    </xf>
    <xf numFmtId="0" fontId="34" fillId="0" borderId="20" xfId="0" applyFont="1" applyBorder="1" applyAlignment="1" applyProtection="1">
      <alignment horizontal="right"/>
      <protection locked="0"/>
    </xf>
    <xf numFmtId="10" fontId="34" fillId="0" borderId="19" xfId="0" applyNumberFormat="1" applyFont="1" applyBorder="1" applyProtection="1">
      <protection locked="0"/>
    </xf>
    <xf numFmtId="10" fontId="34" fillId="0" borderId="30" xfId="0" applyNumberFormat="1" applyFont="1" applyBorder="1" applyProtection="1">
      <protection locked="0"/>
    </xf>
    <xf numFmtId="10" fontId="34" fillId="0" borderId="20" xfId="0" applyNumberFormat="1" applyFont="1" applyBorder="1" applyProtection="1">
      <protection locked="0"/>
    </xf>
    <xf numFmtId="0" fontId="34" fillId="0" borderId="30" xfId="0" applyFont="1" applyBorder="1" applyProtection="1">
      <protection locked="0"/>
    </xf>
    <xf numFmtId="0" fontId="25" fillId="0" borderId="17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0" fontId="35" fillId="0" borderId="30" xfId="49" applyNumberFormat="1" applyFont="1" applyBorder="1"/>
    <xf numFmtId="2" fontId="35" fillId="0" borderId="20" xfId="0" applyNumberFormat="1" applyFont="1" applyBorder="1"/>
    <xf numFmtId="174" fontId="35" fillId="0" borderId="19" xfId="49" applyNumberFormat="1" applyFont="1" applyBorder="1"/>
    <xf numFmtId="2" fontId="35" fillId="0" borderId="30" xfId="49" applyNumberFormat="1" applyFont="1" applyBorder="1"/>
    <xf numFmtId="174" fontId="35" fillId="0" borderId="30" xfId="49" applyNumberFormat="1" applyFont="1" applyBorder="1"/>
    <xf numFmtId="174" fontId="35" fillId="0" borderId="20" xfId="0" applyNumberFormat="1" applyFont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Data" xfId="29"/>
    <cellStyle name="DataInput" xfId="30"/>
    <cellStyle name="Explanatory Text" xfId="31" builtinId="53" customBuiltin="1"/>
    <cellStyle name="Good" xfId="32" builtinId="26" customBuiltin="1"/>
    <cellStyle name="Header" xfId="33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Milliers [0]_rating factor" xfId="40"/>
    <cellStyle name="Milliers_rating factor" xfId="41"/>
    <cellStyle name="Monétaire [0]_rating factor" xfId="42"/>
    <cellStyle name="Monétaire_rating factor" xfId="43"/>
    <cellStyle name="Month" xfId="44"/>
    <cellStyle name="Neutral" xfId="45" builtinId="28" customBuiltin="1"/>
    <cellStyle name="Normal" xfId="0" builtinId="0"/>
    <cellStyle name="Normal_LFS_CollateralandCntrptyRisk" xfId="46"/>
    <cellStyle name="Note" xfId="47" builtinId="10" customBuiltin="1"/>
    <cellStyle name="Output" xfId="48" builtinId="21" customBuiltin="1"/>
    <cellStyle name="Percent" xfId="49" builtinId="5"/>
    <cellStyle name="PricingProducts" xfId="50"/>
    <cellStyle name="Style 1" xfId="51"/>
    <cellStyle name="TIMES" xfId="52"/>
    <cellStyle name="Title" xfId="53" builtinId="15" customBuiltin="1"/>
    <cellStyle name="Total" xfId="54" builtinId="25" customBuiltin="1"/>
    <cellStyle name="Warning Text" xfId="55" builtinId="11" customBuiltin="1"/>
    <cellStyle name="WASP_PLStyle" xfId="56"/>
    <cellStyle name="Year" xfId="57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Spreadsheet12.1!$E$24</c:f>
              <c:strCache>
                <c:ptCount val="1"/>
                <c:pt idx="0">
                  <c:v>EE</c:v>
                </c:pt>
              </c:strCache>
            </c:strRef>
          </c:tx>
          <c:xVal>
            <c:numRef>
              <c:f>Spreadsheet12.1!$B$25:$B$150</c:f>
              <c:numCache>
                <c:formatCode>0.00</c:formatCode>
                <c:ptCount val="1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  <c:pt idx="100">
                  <c:v>4.0000000000000027</c:v>
                </c:pt>
                <c:pt idx="101">
                  <c:v>4.0400000000000027</c:v>
                </c:pt>
                <c:pt idx="102">
                  <c:v>4.0800000000000027</c:v>
                </c:pt>
                <c:pt idx="103">
                  <c:v>4.1200000000000028</c:v>
                </c:pt>
                <c:pt idx="104">
                  <c:v>4.1600000000000028</c:v>
                </c:pt>
                <c:pt idx="105">
                  <c:v>4.2000000000000028</c:v>
                </c:pt>
                <c:pt idx="106">
                  <c:v>4.2400000000000029</c:v>
                </c:pt>
                <c:pt idx="107">
                  <c:v>4.2800000000000029</c:v>
                </c:pt>
                <c:pt idx="108">
                  <c:v>4.3200000000000029</c:v>
                </c:pt>
                <c:pt idx="109">
                  <c:v>4.360000000000003</c:v>
                </c:pt>
                <c:pt idx="110">
                  <c:v>4.400000000000003</c:v>
                </c:pt>
                <c:pt idx="111">
                  <c:v>4.4400000000000031</c:v>
                </c:pt>
                <c:pt idx="112">
                  <c:v>4.4800000000000031</c:v>
                </c:pt>
                <c:pt idx="113">
                  <c:v>4.5200000000000031</c:v>
                </c:pt>
                <c:pt idx="114">
                  <c:v>4.5600000000000032</c:v>
                </c:pt>
                <c:pt idx="115">
                  <c:v>4.6000000000000032</c:v>
                </c:pt>
                <c:pt idx="116">
                  <c:v>4.6400000000000032</c:v>
                </c:pt>
                <c:pt idx="117">
                  <c:v>4.6800000000000033</c:v>
                </c:pt>
                <c:pt idx="118">
                  <c:v>4.7200000000000033</c:v>
                </c:pt>
                <c:pt idx="119">
                  <c:v>4.7600000000000033</c:v>
                </c:pt>
                <c:pt idx="120">
                  <c:v>4.8000000000000034</c:v>
                </c:pt>
                <c:pt idx="121">
                  <c:v>4.8400000000000034</c:v>
                </c:pt>
                <c:pt idx="122">
                  <c:v>4.8800000000000034</c:v>
                </c:pt>
                <c:pt idx="123">
                  <c:v>4.9200000000000035</c:v>
                </c:pt>
                <c:pt idx="124">
                  <c:v>4.9600000000000035</c:v>
                </c:pt>
                <c:pt idx="125">
                  <c:v>5.0000000000000036</c:v>
                </c:pt>
              </c:numCache>
            </c:numRef>
          </c:xVal>
          <c:yVal>
            <c:numRef>
              <c:f>Spreadsheet12.1!$E$25:$E$150</c:f>
              <c:numCache>
                <c:formatCode>0.000%</c:formatCode>
                <c:ptCount val="126"/>
                <c:pt idx="1">
                  <c:v>2.2050037337122911E-4</c:v>
                </c:pt>
                <c:pt idx="2">
                  <c:v>4.4236221264193907E-4</c:v>
                </c:pt>
                <c:pt idx="3">
                  <c:v>6.668485128685554E-4</c:v>
                </c:pt>
                <c:pt idx="4">
                  <c:v>8.8709720428328418E-4</c:v>
                </c:pt>
                <c:pt idx="5">
                  <c:v>1.1088765306023994E-3</c:v>
                </c:pt>
                <c:pt idx="6">
                  <c:v>1.3325901037198342E-3</c:v>
                </c:pt>
                <c:pt idx="7">
                  <c:v>1.56177654983027E-3</c:v>
                </c:pt>
                <c:pt idx="8">
                  <c:v>1.7823213469090118E-3</c:v>
                </c:pt>
                <c:pt idx="9">
                  <c:v>1.9920373661790145E-3</c:v>
                </c:pt>
                <c:pt idx="10">
                  <c:v>2.186875972940025E-3</c:v>
                </c:pt>
                <c:pt idx="11">
                  <c:v>2.3756480140929067E-3</c:v>
                </c:pt>
                <c:pt idx="12">
                  <c:v>2.5769274175048824E-3</c:v>
                </c:pt>
                <c:pt idx="13">
                  <c:v>2.7629630774855772E-3</c:v>
                </c:pt>
                <c:pt idx="14">
                  <c:v>2.9414195890670614E-3</c:v>
                </c:pt>
                <c:pt idx="15">
                  <c:v>3.1057438662650243E-3</c:v>
                </c:pt>
                <c:pt idx="16">
                  <c:v>3.268674127260905E-3</c:v>
                </c:pt>
                <c:pt idx="17">
                  <c:v>3.4230178656917054E-3</c:v>
                </c:pt>
                <c:pt idx="18">
                  <c:v>3.5758981490077628E-3</c:v>
                </c:pt>
                <c:pt idx="19">
                  <c:v>3.7310453657907749E-3</c:v>
                </c:pt>
                <c:pt idx="20">
                  <c:v>3.8837973091841275E-3</c:v>
                </c:pt>
                <c:pt idx="21">
                  <c:v>4.0263685008335576E-3</c:v>
                </c:pt>
                <c:pt idx="22">
                  <c:v>4.1722284279902388E-3</c:v>
                </c:pt>
                <c:pt idx="23">
                  <c:v>4.3054030879867188E-3</c:v>
                </c:pt>
                <c:pt idx="24">
                  <c:v>4.428328912928753E-3</c:v>
                </c:pt>
                <c:pt idx="25">
                  <c:v>4.5479646902477459E-3</c:v>
                </c:pt>
                <c:pt idx="26">
                  <c:v>4.6612851638449648E-3</c:v>
                </c:pt>
                <c:pt idx="27">
                  <c:v>4.7721118329429827E-3</c:v>
                </c:pt>
                <c:pt idx="28">
                  <c:v>4.8754998501392534E-3</c:v>
                </c:pt>
                <c:pt idx="29">
                  <c:v>4.9854502284419943E-3</c:v>
                </c:pt>
                <c:pt idx="30">
                  <c:v>5.1021919126233205E-3</c:v>
                </c:pt>
                <c:pt idx="31">
                  <c:v>5.202445219772759E-3</c:v>
                </c:pt>
                <c:pt idx="32">
                  <c:v>5.2981865455731195E-3</c:v>
                </c:pt>
                <c:pt idx="33">
                  <c:v>5.38705067928286E-3</c:v>
                </c:pt>
                <c:pt idx="34">
                  <c:v>5.4693802846452104E-3</c:v>
                </c:pt>
                <c:pt idx="35">
                  <c:v>5.5491490746411559E-3</c:v>
                </c:pt>
                <c:pt idx="36">
                  <c:v>5.6104004493978607E-3</c:v>
                </c:pt>
                <c:pt idx="37">
                  <c:v>5.6661955493524617E-3</c:v>
                </c:pt>
                <c:pt idx="38">
                  <c:v>5.7239820072945468E-3</c:v>
                </c:pt>
                <c:pt idx="39">
                  <c:v>5.7918257522192309E-3</c:v>
                </c:pt>
                <c:pt idx="40">
                  <c:v>5.8515507562317956E-3</c:v>
                </c:pt>
                <c:pt idx="41">
                  <c:v>5.9050996267039357E-3</c:v>
                </c:pt>
                <c:pt idx="42">
                  <c:v>5.9638143717064959E-3</c:v>
                </c:pt>
                <c:pt idx="43">
                  <c:v>6.0078165485929489E-3</c:v>
                </c:pt>
                <c:pt idx="44">
                  <c:v>6.0551512616963251E-3</c:v>
                </c:pt>
                <c:pt idx="45">
                  <c:v>6.1023050704682681E-3</c:v>
                </c:pt>
                <c:pt idx="46">
                  <c:v>6.1528139314954242E-3</c:v>
                </c:pt>
                <c:pt idx="47">
                  <c:v>6.1923704593485045E-3</c:v>
                </c:pt>
                <c:pt idx="48">
                  <c:v>6.2264275796471338E-3</c:v>
                </c:pt>
                <c:pt idx="49">
                  <c:v>6.2585351911700702E-3</c:v>
                </c:pt>
                <c:pt idx="50">
                  <c:v>6.3053691503537918E-3</c:v>
                </c:pt>
                <c:pt idx="51">
                  <c:v>6.3589361099242146E-3</c:v>
                </c:pt>
                <c:pt idx="52">
                  <c:v>6.4038242695059928E-3</c:v>
                </c:pt>
                <c:pt idx="53">
                  <c:v>6.4483058802390116E-3</c:v>
                </c:pt>
                <c:pt idx="54">
                  <c:v>6.4879268688109275E-3</c:v>
                </c:pt>
                <c:pt idx="55">
                  <c:v>6.5374556090688277E-3</c:v>
                </c:pt>
                <c:pt idx="56">
                  <c:v>6.5799453472784441E-3</c:v>
                </c:pt>
                <c:pt idx="57">
                  <c:v>6.6279833710150959E-3</c:v>
                </c:pt>
                <c:pt idx="58">
                  <c:v>6.6707137152862278E-3</c:v>
                </c:pt>
                <c:pt idx="59">
                  <c:v>6.7115997326657531E-3</c:v>
                </c:pt>
                <c:pt idx="60">
                  <c:v>6.7446747165074757E-3</c:v>
                </c:pt>
                <c:pt idx="61">
                  <c:v>6.7791325036642477E-3</c:v>
                </c:pt>
                <c:pt idx="62">
                  <c:v>6.8209200376155004E-3</c:v>
                </c:pt>
                <c:pt idx="63">
                  <c:v>6.8722216497601411E-3</c:v>
                </c:pt>
                <c:pt idx="64">
                  <c:v>6.9239453065427781E-3</c:v>
                </c:pt>
                <c:pt idx="65">
                  <c:v>6.9695500586111521E-3</c:v>
                </c:pt>
                <c:pt idx="66">
                  <c:v>7.0070934875324734E-3</c:v>
                </c:pt>
                <c:pt idx="67">
                  <c:v>7.0390567548105996E-3</c:v>
                </c:pt>
                <c:pt idx="68">
                  <c:v>7.0557372140665122E-3</c:v>
                </c:pt>
                <c:pt idx="69">
                  <c:v>7.0678117550709747E-3</c:v>
                </c:pt>
                <c:pt idx="70">
                  <c:v>7.0791105930870808E-3</c:v>
                </c:pt>
                <c:pt idx="71">
                  <c:v>7.0828259461184918E-3</c:v>
                </c:pt>
                <c:pt idx="72">
                  <c:v>7.0654375948189362E-3</c:v>
                </c:pt>
                <c:pt idx="73">
                  <c:v>7.0497309107729143E-3</c:v>
                </c:pt>
                <c:pt idx="74">
                  <c:v>7.0301285483130825E-3</c:v>
                </c:pt>
                <c:pt idx="75">
                  <c:v>6.998402339924624E-3</c:v>
                </c:pt>
                <c:pt idx="76">
                  <c:v>6.9602851422932866E-3</c:v>
                </c:pt>
                <c:pt idx="77">
                  <c:v>6.9176150883942331E-3</c:v>
                </c:pt>
                <c:pt idx="78">
                  <c:v>6.8665789513538376E-3</c:v>
                </c:pt>
                <c:pt idx="79">
                  <c:v>6.8086780715436949E-3</c:v>
                </c:pt>
                <c:pt idx="80">
                  <c:v>6.7500056753557157E-3</c:v>
                </c:pt>
                <c:pt idx="81">
                  <c:v>6.6712938842048725E-3</c:v>
                </c:pt>
                <c:pt idx="82">
                  <c:v>6.5927802265672939E-3</c:v>
                </c:pt>
                <c:pt idx="83">
                  <c:v>6.5079521519465135E-3</c:v>
                </c:pt>
                <c:pt idx="84">
                  <c:v>6.4249592160543021E-3</c:v>
                </c:pt>
                <c:pt idx="85">
                  <c:v>6.352795582028805E-3</c:v>
                </c:pt>
                <c:pt idx="86">
                  <c:v>6.2818699379214461E-3</c:v>
                </c:pt>
                <c:pt idx="87">
                  <c:v>6.2065090305696378E-3</c:v>
                </c:pt>
                <c:pt idx="88">
                  <c:v>6.1374242822231657E-3</c:v>
                </c:pt>
                <c:pt idx="89">
                  <c:v>6.0740043931206914E-3</c:v>
                </c:pt>
                <c:pt idx="90">
                  <c:v>6.003638778545508E-3</c:v>
                </c:pt>
                <c:pt idx="91">
                  <c:v>5.9383294092244365E-3</c:v>
                </c:pt>
                <c:pt idx="92">
                  <c:v>5.8658068176216573E-3</c:v>
                </c:pt>
                <c:pt idx="93">
                  <c:v>5.7874374597470541E-3</c:v>
                </c:pt>
                <c:pt idx="94">
                  <c:v>5.6988028494504486E-3</c:v>
                </c:pt>
                <c:pt idx="95">
                  <c:v>5.5873783123172524E-3</c:v>
                </c:pt>
                <c:pt idx="96">
                  <c:v>5.4635504030164719E-3</c:v>
                </c:pt>
                <c:pt idx="97">
                  <c:v>5.3267911953677576E-3</c:v>
                </c:pt>
                <c:pt idx="98">
                  <c:v>5.1805507542064724E-3</c:v>
                </c:pt>
                <c:pt idx="99">
                  <c:v>5.0514324310527298E-3</c:v>
                </c:pt>
                <c:pt idx="100">
                  <c:v>4.9173847739741421E-3</c:v>
                </c:pt>
                <c:pt idx="101">
                  <c:v>4.7734715882910336E-3</c:v>
                </c:pt>
                <c:pt idx="102">
                  <c:v>4.6160697720324037E-3</c:v>
                </c:pt>
                <c:pt idx="103">
                  <c:v>4.4548337417305E-3</c:v>
                </c:pt>
                <c:pt idx="104">
                  <c:v>4.272367433497945E-3</c:v>
                </c:pt>
                <c:pt idx="105">
                  <c:v>4.0854898921780444E-3</c:v>
                </c:pt>
                <c:pt idx="106">
                  <c:v>3.8951033841496206E-3</c:v>
                </c:pt>
                <c:pt idx="107">
                  <c:v>3.7075143330407342E-3</c:v>
                </c:pt>
                <c:pt idx="108">
                  <c:v>3.5100192606923493E-3</c:v>
                </c:pt>
                <c:pt idx="109">
                  <c:v>3.3106563333280634E-3</c:v>
                </c:pt>
                <c:pt idx="110">
                  <c:v>3.1133419290748617E-3</c:v>
                </c:pt>
                <c:pt idx="111">
                  <c:v>2.9075788798869906E-3</c:v>
                </c:pt>
                <c:pt idx="112">
                  <c:v>2.6810862637907185E-3</c:v>
                </c:pt>
                <c:pt idx="113">
                  <c:v>2.4617464162547883E-3</c:v>
                </c:pt>
                <c:pt idx="114">
                  <c:v>2.241451057036447E-3</c:v>
                </c:pt>
                <c:pt idx="115">
                  <c:v>2.0314954176019837E-3</c:v>
                </c:pt>
                <c:pt idx="116">
                  <c:v>1.8318053656978138E-3</c:v>
                </c:pt>
                <c:pt idx="117">
                  <c:v>1.6373514122338933E-3</c:v>
                </c:pt>
                <c:pt idx="118">
                  <c:v>1.4431596257127545E-3</c:v>
                </c:pt>
                <c:pt idx="119">
                  <c:v>1.244421011599545E-3</c:v>
                </c:pt>
                <c:pt idx="120">
                  <c:v>1.0403626686485527E-3</c:v>
                </c:pt>
                <c:pt idx="121">
                  <c:v>8.2699991413198032E-4</c:v>
                </c:pt>
                <c:pt idx="122">
                  <c:v>6.1876067185516991E-4</c:v>
                </c:pt>
                <c:pt idx="123">
                  <c:v>4.1477574576805846E-4</c:v>
                </c:pt>
                <c:pt idx="124">
                  <c:v>2.1215093601144753E-4</c:v>
                </c:pt>
                <c:pt idx="125">
                  <c:v>2.12150936011451E-4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707392"/>
        <c:axId val="171627648"/>
      </c:scatterChart>
      <c:scatterChart>
        <c:scatterStyle val="lineMarker"/>
        <c:varyColors val="0"/>
        <c:ser>
          <c:idx val="0"/>
          <c:order val="0"/>
          <c:tx>
            <c:strRef>
              <c:f>Spreadsheet12.1!$D$24</c:f>
              <c:strCache>
                <c:ptCount val="1"/>
                <c:pt idx="0">
                  <c:v>Def Prob</c:v>
                </c:pt>
              </c:strCache>
            </c:strRef>
          </c:tx>
          <c:xVal>
            <c:numRef>
              <c:f>Spreadsheet12.1!$B$25:$B$150</c:f>
              <c:numCache>
                <c:formatCode>0.00</c:formatCode>
                <c:ptCount val="1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  <c:pt idx="100">
                  <c:v>4.0000000000000027</c:v>
                </c:pt>
                <c:pt idx="101">
                  <c:v>4.0400000000000027</c:v>
                </c:pt>
                <c:pt idx="102">
                  <c:v>4.0800000000000027</c:v>
                </c:pt>
                <c:pt idx="103">
                  <c:v>4.1200000000000028</c:v>
                </c:pt>
                <c:pt idx="104">
                  <c:v>4.1600000000000028</c:v>
                </c:pt>
                <c:pt idx="105">
                  <c:v>4.2000000000000028</c:v>
                </c:pt>
                <c:pt idx="106">
                  <c:v>4.2400000000000029</c:v>
                </c:pt>
                <c:pt idx="107">
                  <c:v>4.2800000000000029</c:v>
                </c:pt>
                <c:pt idx="108">
                  <c:v>4.3200000000000029</c:v>
                </c:pt>
                <c:pt idx="109">
                  <c:v>4.360000000000003</c:v>
                </c:pt>
                <c:pt idx="110">
                  <c:v>4.400000000000003</c:v>
                </c:pt>
                <c:pt idx="111">
                  <c:v>4.4400000000000031</c:v>
                </c:pt>
                <c:pt idx="112">
                  <c:v>4.4800000000000031</c:v>
                </c:pt>
                <c:pt idx="113">
                  <c:v>4.5200000000000031</c:v>
                </c:pt>
                <c:pt idx="114">
                  <c:v>4.5600000000000032</c:v>
                </c:pt>
                <c:pt idx="115">
                  <c:v>4.6000000000000032</c:v>
                </c:pt>
                <c:pt idx="116">
                  <c:v>4.6400000000000032</c:v>
                </c:pt>
                <c:pt idx="117">
                  <c:v>4.6800000000000033</c:v>
                </c:pt>
                <c:pt idx="118">
                  <c:v>4.7200000000000033</c:v>
                </c:pt>
                <c:pt idx="119">
                  <c:v>4.7600000000000033</c:v>
                </c:pt>
                <c:pt idx="120">
                  <c:v>4.8000000000000034</c:v>
                </c:pt>
                <c:pt idx="121">
                  <c:v>4.8400000000000034</c:v>
                </c:pt>
                <c:pt idx="122">
                  <c:v>4.8800000000000034</c:v>
                </c:pt>
                <c:pt idx="123">
                  <c:v>4.9200000000000035</c:v>
                </c:pt>
                <c:pt idx="124">
                  <c:v>4.9600000000000035</c:v>
                </c:pt>
                <c:pt idx="125">
                  <c:v>5.0000000000000036</c:v>
                </c:pt>
              </c:numCache>
            </c:numRef>
          </c:xVal>
          <c:yVal>
            <c:numRef>
              <c:f>Spreadsheet12.1!$D$25:$D$150</c:f>
              <c:numCache>
                <c:formatCode>0.00%</c:formatCode>
                <c:ptCount val="126"/>
                <c:pt idx="1">
                  <c:v>3.3277839454767255E-3</c:v>
                </c:pt>
                <c:pt idx="2">
                  <c:v>3.3167097994889483E-3</c:v>
                </c:pt>
                <c:pt idx="3">
                  <c:v>3.3056725058664416E-3</c:v>
                </c:pt>
                <c:pt idx="4">
                  <c:v>3.2946719419724158E-3</c:v>
                </c:pt>
                <c:pt idx="5">
                  <c:v>3.2837079855783102E-3</c:v>
                </c:pt>
                <c:pt idx="6">
                  <c:v>3.2727805148622391E-3</c:v>
                </c:pt>
                <c:pt idx="7">
                  <c:v>3.2618894084077699E-3</c:v>
                </c:pt>
                <c:pt idx="8">
                  <c:v>3.2510345452025913E-3</c:v>
                </c:pt>
                <c:pt idx="9">
                  <c:v>3.2402158046368479E-3</c:v>
                </c:pt>
                <c:pt idx="10">
                  <c:v>3.2294330665023629E-3</c:v>
                </c:pt>
                <c:pt idx="11">
                  <c:v>3.21868621099064E-3</c:v>
                </c:pt>
                <c:pt idx="12">
                  <c:v>3.2079751186921968E-3</c:v>
                </c:pt>
                <c:pt idx="13">
                  <c:v>3.1972996705946777E-3</c:v>
                </c:pt>
                <c:pt idx="14">
                  <c:v>3.1866597480819658E-3</c:v>
                </c:pt>
                <c:pt idx="15">
                  <c:v>3.1760552329326286E-3</c:v>
                </c:pt>
                <c:pt idx="16">
                  <c:v>3.1654860073185853E-3</c:v>
                </c:pt>
                <c:pt idx="17">
                  <c:v>3.1549519538037751E-3</c:v>
                </c:pt>
                <c:pt idx="18">
                  <c:v>3.1444529553431577E-3</c:v>
                </c:pt>
                <c:pt idx="19">
                  <c:v>3.133988895281048E-3</c:v>
                </c:pt>
                <c:pt idx="20">
                  <c:v>3.1235596573500057E-3</c:v>
                </c:pt>
                <c:pt idx="21">
                  <c:v>3.1131651256695037E-3</c:v>
                </c:pt>
                <c:pt idx="22">
                  <c:v>3.1028051847447058E-3</c:v>
                </c:pt>
                <c:pt idx="23">
                  <c:v>3.0924797194650244E-3</c:v>
                </c:pt>
                <c:pt idx="24">
                  <c:v>3.0821886151028988E-3</c:v>
                </c:pt>
                <c:pt idx="25">
                  <c:v>3.0719317573125737E-3</c:v>
                </c:pt>
                <c:pt idx="26">
                  <c:v>3.0617090321289897E-3</c:v>
                </c:pt>
                <c:pt idx="27">
                  <c:v>3.0515203259661172E-3</c:v>
                </c:pt>
                <c:pt idx="28">
                  <c:v>3.0413655256160688E-3</c:v>
                </c:pt>
                <c:pt idx="29">
                  <c:v>3.0312445182476555E-3</c:v>
                </c:pt>
                <c:pt idx="30">
                  <c:v>3.021157191404944E-3</c:v>
                </c:pt>
                <c:pt idx="31">
                  <c:v>3.011103433006701E-3</c:v>
                </c:pt>
                <c:pt idx="32">
                  <c:v>3.0010831313441733E-3</c:v>
                </c:pt>
                <c:pt idx="33">
                  <c:v>2.9910961750806431E-3</c:v>
                </c:pt>
                <c:pt idx="34">
                  <c:v>2.9811424532497632E-3</c:v>
                </c:pt>
                <c:pt idx="35">
                  <c:v>2.9712218552546688E-3</c:v>
                </c:pt>
                <c:pt idx="36">
                  <c:v>2.9613342708663115E-3</c:v>
                </c:pt>
                <c:pt idx="37">
                  <c:v>2.9514795902225721E-3</c:v>
                </c:pt>
                <c:pt idx="38">
                  <c:v>2.9416577038268166E-3</c:v>
                </c:pt>
                <c:pt idx="39">
                  <c:v>2.9318685025468971E-3</c:v>
                </c:pt>
                <c:pt idx="40">
                  <c:v>2.922111877613931E-3</c:v>
                </c:pt>
                <c:pt idx="41">
                  <c:v>2.912387720620746E-3</c:v>
                </c:pt>
                <c:pt idx="42">
                  <c:v>2.9026959235209926E-3</c:v>
                </c:pt>
                <c:pt idx="43">
                  <c:v>2.8930363786281443E-3</c:v>
                </c:pt>
                <c:pt idx="44">
                  <c:v>2.8834089786136108E-3</c:v>
                </c:pt>
                <c:pt idx="45">
                  <c:v>2.8738136165064043E-3</c:v>
                </c:pt>
                <c:pt idx="46">
                  <c:v>2.8642501856910307E-3</c:v>
                </c:pt>
                <c:pt idx="47">
                  <c:v>2.8547185799072672E-3</c:v>
                </c:pt>
                <c:pt idx="48">
                  <c:v>2.8452186932482748E-3</c:v>
                </c:pt>
                <c:pt idx="49">
                  <c:v>2.8357504201594885E-3</c:v>
                </c:pt>
                <c:pt idx="50">
                  <c:v>2.8263136554377288E-3</c:v>
                </c:pt>
                <c:pt idx="51">
                  <c:v>2.8169082942304247E-3</c:v>
                </c:pt>
                <c:pt idx="52">
                  <c:v>2.8075342320330599E-3</c:v>
                </c:pt>
                <c:pt idx="53">
                  <c:v>2.7981913646892842E-3</c:v>
                </c:pt>
                <c:pt idx="54">
                  <c:v>2.7888795883894701E-3</c:v>
                </c:pt>
                <c:pt idx="55">
                  <c:v>2.7795987996693805E-3</c:v>
                </c:pt>
                <c:pt idx="56">
                  <c:v>2.7703488954089472E-3</c:v>
                </c:pt>
                <c:pt idx="57">
                  <c:v>2.7611297728314943E-3</c:v>
                </c:pt>
                <c:pt idx="58">
                  <c:v>2.7519413295020723E-3</c:v>
                </c:pt>
                <c:pt idx="59">
                  <c:v>2.7427834633267922E-3</c:v>
                </c:pt>
                <c:pt idx="60">
                  <c:v>2.7336560725517156E-3</c:v>
                </c:pt>
                <c:pt idx="61">
                  <c:v>2.7245590557609667E-3</c:v>
                </c:pt>
                <c:pt idx="62">
                  <c:v>2.7154923118767327E-3</c:v>
                </c:pt>
                <c:pt idx="63">
                  <c:v>2.7064557401571543E-3</c:v>
                </c:pt>
                <c:pt idx="64">
                  <c:v>2.6974492401959926E-3</c:v>
                </c:pt>
                <c:pt idx="65">
                  <c:v>2.6884727119206309E-3</c:v>
                </c:pt>
                <c:pt idx="66">
                  <c:v>2.6795260555920741E-3</c:v>
                </c:pt>
                <c:pt idx="67">
                  <c:v>2.6706091718028402E-3</c:v>
                </c:pt>
                <c:pt idx="68">
                  <c:v>2.6617219614762933E-3</c:v>
                </c:pt>
                <c:pt idx="69">
                  <c:v>2.6528643258655338E-3</c:v>
                </c:pt>
                <c:pt idx="70">
                  <c:v>2.6440361665523993E-3</c:v>
                </c:pt>
                <c:pt idx="71">
                  <c:v>2.6352373854460209E-3</c:v>
                </c:pt>
                <c:pt idx="72">
                  <c:v>2.6264678847822687E-3</c:v>
                </c:pt>
                <c:pt idx="73">
                  <c:v>2.6177275671219746E-3</c:v>
                </c:pt>
                <c:pt idx="74">
                  <c:v>2.6090163353504892E-3</c:v>
                </c:pt>
                <c:pt idx="75">
                  <c:v>2.6003340926762375E-3</c:v>
                </c:pt>
                <c:pt idx="76">
                  <c:v>2.5916807426297206E-3</c:v>
                </c:pt>
                <c:pt idx="77">
                  <c:v>2.5830561890626269E-3</c:v>
                </c:pt>
                <c:pt idx="78">
                  <c:v>2.5744603361463891E-3</c:v>
                </c:pt>
                <c:pt idx="79">
                  <c:v>2.5658930883715181E-3</c:v>
                </c:pt>
                <c:pt idx="80">
                  <c:v>2.5573543505461593E-3</c:v>
                </c:pt>
                <c:pt idx="81">
                  <c:v>2.5488440277955382E-3</c:v>
                </c:pt>
                <c:pt idx="82">
                  <c:v>2.5403620255602943E-3</c:v>
                </c:pt>
                <c:pt idx="83">
                  <c:v>2.5319082495959266E-3</c:v>
                </c:pt>
                <c:pt idx="84">
                  <c:v>2.523482605971572E-3</c:v>
                </c:pt>
                <c:pt idx="85">
                  <c:v>2.5150850010686732E-3</c:v>
                </c:pt>
                <c:pt idx="86">
                  <c:v>2.5067153415806454E-3</c:v>
                </c:pt>
                <c:pt idx="87">
                  <c:v>2.4983735345109892E-3</c:v>
                </c:pt>
                <c:pt idx="88">
                  <c:v>2.4900594871730686E-3</c:v>
                </c:pt>
                <c:pt idx="89">
                  <c:v>2.4817731071883342E-3</c:v>
                </c:pt>
                <c:pt idx="90">
                  <c:v>2.4735143024859907E-3</c:v>
                </c:pt>
                <c:pt idx="91">
                  <c:v>2.46528298130122E-3</c:v>
                </c:pt>
                <c:pt idx="92">
                  <c:v>2.4570790521749597E-3</c:v>
                </c:pt>
                <c:pt idx="93">
                  <c:v>2.4489024239524593E-3</c:v>
                </c:pt>
                <c:pt idx="94">
                  <c:v>2.4407530057819482E-3</c:v>
                </c:pt>
                <c:pt idx="95">
                  <c:v>2.4326307071144138E-3</c:v>
                </c:pt>
                <c:pt idx="96">
                  <c:v>2.4245354377020467E-3</c:v>
                </c:pt>
                <c:pt idx="97">
                  <c:v>2.4164671075972421E-3</c:v>
                </c:pt>
                <c:pt idx="98">
                  <c:v>2.4084256271517113E-3</c:v>
                </c:pt>
                <c:pt idx="99">
                  <c:v>2.4004109070158153E-3</c:v>
                </c:pt>
                <c:pt idx="100">
                  <c:v>2.3924228581369E-3</c:v>
                </c:pt>
                <c:pt idx="101">
                  <c:v>2.384461391758852E-3</c:v>
                </c:pt>
                <c:pt idx="102">
                  <c:v>2.3765264194207658E-3</c:v>
                </c:pt>
                <c:pt idx="103">
                  <c:v>2.3686178529561674E-3</c:v>
                </c:pt>
                <c:pt idx="104">
                  <c:v>2.3607356044921257E-3</c:v>
                </c:pt>
                <c:pt idx="105">
                  <c:v>2.3528795864480312E-3</c:v>
                </c:pt>
                <c:pt idx="106">
                  <c:v>2.345049711534597E-3</c:v>
                </c:pt>
                <c:pt idx="107">
                  <c:v>2.3372458927531925E-3</c:v>
                </c:pt>
                <c:pt idx="108">
                  <c:v>2.3294680433946224E-3</c:v>
                </c:pt>
                <c:pt idx="109">
                  <c:v>2.3217160770383494E-3</c:v>
                </c:pt>
                <c:pt idx="110">
                  <c:v>2.3139899075512727E-3</c:v>
                </c:pt>
                <c:pt idx="111">
                  <c:v>2.3062894490868402E-3</c:v>
                </c:pt>
                <c:pt idx="112">
                  <c:v>2.2986146160846044E-3</c:v>
                </c:pt>
                <c:pt idx="113">
                  <c:v>2.2909653232683347E-3</c:v>
                </c:pt>
                <c:pt idx="114">
                  <c:v>2.2833414856459067E-3</c:v>
                </c:pt>
                <c:pt idx="115">
                  <c:v>2.2757430185079697E-3</c:v>
                </c:pt>
                <c:pt idx="116">
                  <c:v>2.2681698374269477E-3</c:v>
                </c:pt>
                <c:pt idx="117">
                  <c:v>2.2606218582563731E-3</c:v>
                </c:pt>
                <c:pt idx="118">
                  <c:v>2.2530989971296655E-3</c:v>
                </c:pt>
                <c:pt idx="119">
                  <c:v>2.2456011704594658E-3</c:v>
                </c:pt>
                <c:pt idx="120">
                  <c:v>2.2381282949364145E-3</c:v>
                </c:pt>
                <c:pt idx="121">
                  <c:v>2.2306802875285969E-3</c:v>
                </c:pt>
                <c:pt idx="122">
                  <c:v>2.2232570654803219E-3</c:v>
                </c:pt>
                <c:pt idx="123">
                  <c:v>2.2158585463111224E-3</c:v>
                </c:pt>
                <c:pt idx="124">
                  <c:v>2.2084846478152009E-3</c:v>
                </c:pt>
                <c:pt idx="125">
                  <c:v>2.2011352880604296E-3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29568"/>
        <c:axId val="171639552"/>
      </c:scatterChart>
      <c:valAx>
        <c:axId val="171707392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627648"/>
        <c:crosses val="autoZero"/>
        <c:crossBetween val="midCat"/>
      </c:valAx>
      <c:valAx>
        <c:axId val="171627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Expected Exposure</a:t>
                </a:r>
              </a:p>
            </c:rich>
          </c:tx>
          <c:layout>
            <c:manualLayout>
              <c:xMode val="edge"/>
              <c:yMode val="edge"/>
              <c:x val="2.222222222222222E-2"/>
              <c:y val="0.2791291192767571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71707392"/>
        <c:crosses val="autoZero"/>
        <c:crossBetween val="midCat"/>
      </c:valAx>
      <c:valAx>
        <c:axId val="17162956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1639552"/>
        <c:crosses val="autoZero"/>
        <c:crossBetween val="midCat"/>
      </c:valAx>
      <c:valAx>
        <c:axId val="171639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Marginal Default Probability</a:t>
                </a:r>
              </a:p>
            </c:rich>
          </c:tx>
          <c:layout/>
          <c:overlay val="0"/>
        </c:title>
        <c:numFmt formatCode="0.00%" sourceLinked="0"/>
        <c:majorTickMark val="out"/>
        <c:minorTickMark val="none"/>
        <c:tickLblPos val="nextTo"/>
        <c:crossAx val="171629568"/>
        <c:crosses val="max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6374238136433"/>
          <c:y val="2.7777777777777776E-2"/>
          <c:w val="0.27824278948371672"/>
          <c:h val="8.371719160104985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Spreadsheet12.2!$P$9</c:f>
              <c:strCache>
                <c:ptCount val="1"/>
                <c:pt idx="0">
                  <c:v>Swaption</c:v>
                </c:pt>
              </c:strCache>
            </c:strRef>
          </c:tx>
          <c:xVal>
            <c:numRef>
              <c:f>Spreadsheet12.2!$F$10:$F$110</c:f>
              <c:numCache>
                <c:formatCode>0.00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3.649999999999995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</c:numCache>
            </c:numRef>
          </c:xVal>
          <c:yVal>
            <c:numRef>
              <c:f>Spreadsheet12.2!$P$10:$P$110</c:f>
              <c:numCache>
                <c:formatCode>0.000%</c:formatCode>
                <c:ptCount val="101"/>
                <c:pt idx="0">
                  <c:v>0</c:v>
                </c:pt>
                <c:pt idx="1">
                  <c:v>3.5258763482591692E-3</c:v>
                </c:pt>
                <c:pt idx="2">
                  <c:v>4.9457180611853311E-3</c:v>
                </c:pt>
                <c:pt idx="3">
                  <c:v>6.0024021776162858E-3</c:v>
                </c:pt>
                <c:pt idx="4">
                  <c:v>6.8657017945368617E-3</c:v>
                </c:pt>
                <c:pt idx="5">
                  <c:v>7.6020328729610271E-3</c:v>
                </c:pt>
                <c:pt idx="6">
                  <c:v>8.2457771008878009E-3</c:v>
                </c:pt>
                <c:pt idx="7">
                  <c:v>8.817544082327983E-3</c:v>
                </c:pt>
                <c:pt idx="8">
                  <c:v>9.330880988102766E-3</c:v>
                </c:pt>
                <c:pt idx="9">
                  <c:v>9.7952793050540467E-3</c:v>
                </c:pt>
                <c:pt idx="10">
                  <c:v>1.1562625730002808E-2</c:v>
                </c:pt>
                <c:pt idx="11">
                  <c:v>1.1936370735564989E-2</c:v>
                </c:pt>
                <c:pt idx="12">
                  <c:v>1.2277616710103807E-2</c:v>
                </c:pt>
                <c:pt idx="13">
                  <c:v>1.2589664879003738E-2</c:v>
                </c:pt>
                <c:pt idx="14">
                  <c:v>1.2875217233937052E-2</c:v>
                </c:pt>
                <c:pt idx="15">
                  <c:v>1.3136520907910542E-2</c:v>
                </c:pt>
                <c:pt idx="16">
                  <c:v>1.3375470436143429E-2</c:v>
                </c:pt>
                <c:pt idx="17">
                  <c:v>1.35936820479942E-2</c:v>
                </c:pt>
                <c:pt idx="18">
                  <c:v>1.3792548833643123E-2</c:v>
                </c:pt>
                <c:pt idx="19">
                  <c:v>1.3973282498018659E-2</c:v>
                </c:pt>
                <c:pt idx="20">
                  <c:v>1.5748474259769264E-2</c:v>
                </c:pt>
                <c:pt idx="21">
                  <c:v>1.5879392384050051E-2</c:v>
                </c:pt>
                <c:pt idx="22">
                  <c:v>1.5995134739221897E-2</c:v>
                </c:pt>
                <c:pt idx="23">
                  <c:v>1.6096424294545782E-2</c:v>
                </c:pt>
                <c:pt idx="24">
                  <c:v>1.6183911915961677E-2</c:v>
                </c:pt>
                <c:pt idx="25">
                  <c:v>1.6258186294423001E-2</c:v>
                </c:pt>
                <c:pt idx="26">
                  <c:v>1.6319782163977087E-2</c:v>
                </c:pt>
                <c:pt idx="27">
                  <c:v>1.6369187158212721E-2</c:v>
                </c:pt>
                <c:pt idx="28">
                  <c:v>1.6406847572483691E-2</c:v>
                </c:pt>
                <c:pt idx="29">
                  <c:v>1.6433173239212766E-2</c:v>
                </c:pt>
                <c:pt idx="30">
                  <c:v>1.7579672379923167E-2</c:v>
                </c:pt>
                <c:pt idx="31">
                  <c:v>1.7569195523357568E-2</c:v>
                </c:pt>
                <c:pt idx="32">
                  <c:v>1.7548453318181258E-2</c:v>
                </c:pt>
                <c:pt idx="33">
                  <c:v>1.7517739249473103E-2</c:v>
                </c:pt>
                <c:pt idx="34">
                  <c:v>1.7477326789259187E-2</c:v>
                </c:pt>
                <c:pt idx="35">
                  <c:v>1.7427471307804906E-2</c:v>
                </c:pt>
                <c:pt idx="36">
                  <c:v>1.7368411752861478E-2</c:v>
                </c:pt>
                <c:pt idx="37">
                  <c:v>1.7300372130637388E-2</c:v>
                </c:pt>
                <c:pt idx="38">
                  <c:v>1.7223562816584478E-2</c:v>
                </c:pt>
                <c:pt idx="39">
                  <c:v>1.7138181719485897E-2</c:v>
                </c:pt>
                <c:pt idx="40">
                  <c:v>1.8392560773144023E-2</c:v>
                </c:pt>
                <c:pt idx="41">
                  <c:v>1.827139404685257E-2</c:v>
                </c:pt>
                <c:pt idx="42">
                  <c:v>1.8142196705105196E-2</c:v>
                </c:pt>
                <c:pt idx="43">
                  <c:v>1.8005119642709105E-2</c:v>
                </c:pt>
                <c:pt idx="44">
                  <c:v>1.7860305953920741E-2</c:v>
                </c:pt>
                <c:pt idx="45">
                  <c:v>1.7707891494920896E-2</c:v>
                </c:pt>
                <c:pt idx="46">
                  <c:v>1.7548005394210572E-2</c:v>
                </c:pt>
                <c:pt idx="47">
                  <c:v>1.7380770516751048E-2</c:v>
                </c:pt>
                <c:pt idx="48">
                  <c:v>1.7206303886913771E-2</c:v>
                </c:pt>
                <c:pt idx="49">
                  <c:v>1.702471707466037E-2</c:v>
                </c:pt>
                <c:pt idx="50">
                  <c:v>1.7640322408679503E-2</c:v>
                </c:pt>
                <c:pt idx="51">
                  <c:v>1.7429362286029614E-2</c:v>
                </c:pt>
                <c:pt idx="52">
                  <c:v>1.7211576838871822E-2</c:v>
                </c:pt>
                <c:pt idx="53">
                  <c:v>1.6987057112457855E-2</c:v>
                </c:pt>
                <c:pt idx="54">
                  <c:v>1.675589033115972E-2</c:v>
                </c:pt>
                <c:pt idx="55">
                  <c:v>1.6518160119429678E-2</c:v>
                </c:pt>
                <c:pt idx="56">
                  <c:v>1.627394670622459E-2</c:v>
                </c:pt>
                <c:pt idx="57">
                  <c:v>1.6023327114396059E-2</c:v>
                </c:pt>
                <c:pt idx="58">
                  <c:v>1.5766375336389658E-2</c:v>
                </c:pt>
                <c:pt idx="59">
                  <c:v>1.5503162497455101E-2</c:v>
                </c:pt>
                <c:pt idx="60">
                  <c:v>1.6230204196800591E-2</c:v>
                </c:pt>
                <c:pt idx="61">
                  <c:v>1.5932549870544311E-2</c:v>
                </c:pt>
                <c:pt idx="62">
                  <c:v>1.5628783589339352E-2</c:v>
                </c:pt>
                <c:pt idx="63">
                  <c:v>1.5318963230337195E-2</c:v>
                </c:pt>
                <c:pt idx="64">
                  <c:v>1.5003144592613109E-2</c:v>
                </c:pt>
                <c:pt idx="65">
                  <c:v>1.4681381496094385E-2</c:v>
                </c:pt>
                <c:pt idx="66">
                  <c:v>1.4353725874353306E-2</c:v>
                </c:pt>
                <c:pt idx="67">
                  <c:v>1.40202278617278E-2</c:v>
                </c:pt>
                <c:pt idx="68">
                  <c:v>1.3680935875191995E-2</c:v>
                </c:pt>
                <c:pt idx="69">
                  <c:v>1.3335896691361974E-2</c:v>
                </c:pt>
                <c:pt idx="70">
                  <c:v>1.3406476053250521E-2</c:v>
                </c:pt>
                <c:pt idx="71">
                  <c:v>1.3036394365705528E-2</c:v>
                </c:pt>
                <c:pt idx="72">
                  <c:v>1.2660676140768946E-2</c:v>
                </c:pt>
                <c:pt idx="73">
                  <c:v>1.2279361530698465E-2</c:v>
                </c:pt>
                <c:pt idx="74">
                  <c:v>1.1892489405964293E-2</c:v>
                </c:pt>
                <c:pt idx="75">
                  <c:v>1.150009740733865E-2</c:v>
                </c:pt>
                <c:pt idx="76">
                  <c:v>1.1102221995207707E-2</c:v>
                </c:pt>
                <c:pt idx="77">
                  <c:v>1.0698898496286127E-2</c:v>
                </c:pt>
                <c:pt idx="78">
                  <c:v>1.0290161147901622E-2</c:v>
                </c:pt>
                <c:pt idx="79">
                  <c:v>9.8760431400035497E-3</c:v>
                </c:pt>
                <c:pt idx="80">
                  <c:v>1.0033749264379563E-2</c:v>
                </c:pt>
                <c:pt idx="81">
                  <c:v>9.5818351039559518E-3</c:v>
                </c:pt>
                <c:pt idx="82">
                  <c:v>9.1245372364933044E-3</c:v>
                </c:pt>
                <c:pt idx="83">
                  <c:v>8.6618828535035795E-3</c:v>
                </c:pt>
                <c:pt idx="84">
                  <c:v>8.1938983304278117E-3</c:v>
                </c:pt>
                <c:pt idx="85">
                  <c:v>7.720609254964466E-3</c:v>
                </c:pt>
                <c:pt idx="86">
                  <c:v>7.2420404540951234E-3</c:v>
                </c:pt>
                <c:pt idx="87">
                  <c:v>6.7582160198804333E-3</c:v>
                </c:pt>
                <c:pt idx="88">
                  <c:v>6.2691593340946736E-3</c:v>
                </c:pt>
                <c:pt idx="89">
                  <c:v>5.7748930917625087E-3</c:v>
                </c:pt>
                <c:pt idx="90">
                  <c:v>5.2754393236578608E-3</c:v>
                </c:pt>
                <c:pt idx="91">
                  <c:v>4.7708194178205706E-3</c:v>
                </c:pt>
                <c:pt idx="92">
                  <c:v>4.2610541401432792E-3</c:v>
                </c:pt>
                <c:pt idx="93">
                  <c:v>3.7461636540775988E-3</c:v>
                </c:pt>
                <c:pt idx="94">
                  <c:v>3.2261675395055906E-3</c:v>
                </c:pt>
                <c:pt idx="95">
                  <c:v>2.7010848108196973E-3</c:v>
                </c:pt>
                <c:pt idx="96">
                  <c:v>2.1709339342518025E-3</c:v>
                </c:pt>
                <c:pt idx="97">
                  <c:v>1.6357328444894456E-3</c:v>
                </c:pt>
                <c:pt idx="98">
                  <c:v>1.0954989606151099E-3</c:v>
                </c:pt>
                <c:pt idx="99">
                  <c:v>5.5024920140227382E-4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09344"/>
        <c:axId val="172010880"/>
      </c:scatterChart>
      <c:scatterChart>
        <c:scatterStyle val="lineMarker"/>
        <c:varyColors val="0"/>
        <c:ser>
          <c:idx val="1"/>
          <c:order val="1"/>
          <c:tx>
            <c:strRef>
              <c:f>Spreadsheet12.2!$R$9</c:f>
              <c:strCache>
                <c:ptCount val="1"/>
                <c:pt idx="0">
                  <c:v>Def Prob</c:v>
                </c:pt>
              </c:strCache>
            </c:strRef>
          </c:tx>
          <c:xVal>
            <c:numRef>
              <c:f>Spreadsheet12.2!$F$10:$F$110</c:f>
              <c:numCache>
                <c:formatCode>0.00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3.649999999999995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</c:numCache>
            </c:numRef>
          </c:xVal>
          <c:yVal>
            <c:numRef>
              <c:f>Spreadsheet12.2!$R$10:$R$110</c:f>
              <c:numCache>
                <c:formatCode>0.000%</c:formatCode>
                <c:ptCount val="101"/>
                <c:pt idx="1">
                  <c:v>4.1579981548900413E-3</c:v>
                </c:pt>
                <c:pt idx="2">
                  <c:v>4.1407092062339945E-3</c:v>
                </c:pt>
                <c:pt idx="3">
                  <c:v>4.1234921449945228E-3</c:v>
                </c:pt>
                <c:pt idx="4">
                  <c:v>4.1063466722639497E-3</c:v>
                </c:pt>
                <c:pt idx="5">
                  <c:v>4.0892724903773825E-3</c:v>
                </c:pt>
                <c:pt idx="6">
                  <c:v>4.0722693029074941E-3</c:v>
                </c:pt>
                <c:pt idx="7">
                  <c:v>4.055336814659749E-3</c:v>
                </c:pt>
                <c:pt idx="8">
                  <c:v>4.0384747316669634E-3</c:v>
                </c:pt>
                <c:pt idx="9">
                  <c:v>4.0216827611840866E-3</c:v>
                </c:pt>
                <c:pt idx="10">
                  <c:v>4.00496061168365E-3</c:v>
                </c:pt>
                <c:pt idx="11">
                  <c:v>3.9883079928497711E-3</c:v>
                </c:pt>
                <c:pt idx="12">
                  <c:v>3.9717246155743791E-3</c:v>
                </c:pt>
                <c:pt idx="13">
                  <c:v>3.9552101919511085E-3</c:v>
                </c:pt>
                <c:pt idx="14">
                  <c:v>3.9387644352707474E-3</c:v>
                </c:pt>
                <c:pt idx="15">
                  <c:v>3.9223870600163524E-3</c:v>
                </c:pt>
                <c:pt idx="16">
                  <c:v>3.9060777818580306E-3</c:v>
                </c:pt>
                <c:pt idx="17">
                  <c:v>3.8898363176482764E-3</c:v>
                </c:pt>
                <c:pt idx="18">
                  <c:v>3.873662385416643E-3</c:v>
                </c:pt>
                <c:pt idx="19">
                  <c:v>3.8575557043654118E-3</c:v>
                </c:pt>
                <c:pt idx="20">
                  <c:v>3.8415159948641531E-3</c:v>
                </c:pt>
                <c:pt idx="21">
                  <c:v>3.8255429784456174E-3</c:v>
                </c:pt>
                <c:pt idx="22">
                  <c:v>3.8096363777998521E-3</c:v>
                </c:pt>
                <c:pt idx="23">
                  <c:v>3.793795916770093E-3</c:v>
                </c:pt>
                <c:pt idx="24">
                  <c:v>3.7780213203482127E-3</c:v>
                </c:pt>
                <c:pt idx="25">
                  <c:v>3.7623123146689474E-3</c:v>
                </c:pt>
                <c:pt idx="26">
                  <c:v>3.7466686270064553E-3</c:v>
                </c:pt>
                <c:pt idx="27">
                  <c:v>3.7310899857684321E-3</c:v>
                </c:pt>
                <c:pt idx="28">
                  <c:v>3.7155761204918925E-3</c:v>
                </c:pt>
                <c:pt idx="29">
                  <c:v>3.700126761838507E-3</c:v>
                </c:pt>
                <c:pt idx="30">
                  <c:v>3.6847416415898282E-3</c:v>
                </c:pt>
                <c:pt idx="31">
                  <c:v>3.6694204926429608E-3</c:v>
                </c:pt>
                <c:pt idx="32">
                  <c:v>3.6541630490050103E-3</c:v>
                </c:pt>
                <c:pt idx="33">
                  <c:v>3.6389690457896418E-3</c:v>
                </c:pt>
                <c:pt idx="34">
                  <c:v>3.6238382192115282E-3</c:v>
                </c:pt>
                <c:pt idx="35">
                  <c:v>3.608770306582354E-3</c:v>
                </c:pt>
                <c:pt idx="36">
                  <c:v>3.5937650463061521E-3</c:v>
                </c:pt>
                <c:pt idx="37">
                  <c:v>3.5788221778745299E-3</c:v>
                </c:pt>
                <c:pt idx="38">
                  <c:v>3.5639414418623394E-3</c:v>
                </c:pt>
                <c:pt idx="39">
                  <c:v>3.5491225799227921E-3</c:v>
                </c:pt>
                <c:pt idx="40">
                  <c:v>3.5343653347841286E-3</c:v>
                </c:pt>
                <c:pt idx="41">
                  <c:v>3.5196694502432901E-3</c:v>
                </c:pt>
                <c:pt idx="42">
                  <c:v>3.5050346711633651E-3</c:v>
                </c:pt>
                <c:pt idx="43">
                  <c:v>3.4904607434679269E-3</c:v>
                </c:pt>
                <c:pt idx="44">
                  <c:v>3.4759474141368152E-3</c:v>
                </c:pt>
                <c:pt idx="45">
                  <c:v>3.46149443120225E-3</c:v>
                </c:pt>
                <c:pt idx="46">
                  <c:v>3.4471015437442798E-3</c:v>
                </c:pt>
                <c:pt idx="47">
                  <c:v>3.4327685018855636E-3</c:v>
                </c:pt>
                <c:pt idx="48">
                  <c:v>3.4184950567887062E-3</c:v>
                </c:pt>
                <c:pt idx="49">
                  <c:v>3.4042809606499302E-3</c:v>
                </c:pt>
                <c:pt idx="50">
                  <c:v>3.3901259666969663E-3</c:v>
                </c:pt>
                <c:pt idx="51">
                  <c:v>3.3760298291825031E-3</c:v>
                </c:pt>
                <c:pt idx="52">
                  <c:v>3.3619923033818555E-3</c:v>
                </c:pt>
                <c:pt idx="53">
                  <c:v>3.3480131455877471E-3</c:v>
                </c:pt>
                <c:pt idx="54">
                  <c:v>3.3340921131057577E-3</c:v>
                </c:pt>
                <c:pt idx="55">
                  <c:v>3.3202289642513261E-3</c:v>
                </c:pt>
                <c:pt idx="56">
                  <c:v>3.3064234583440877E-3</c:v>
                </c:pt>
                <c:pt idx="57">
                  <c:v>3.2926753557049881E-3</c:v>
                </c:pt>
                <c:pt idx="58">
                  <c:v>3.2789844176513983E-3</c:v>
                </c:pt>
                <c:pt idx="59">
                  <c:v>3.2653504064927841E-3</c:v>
                </c:pt>
                <c:pt idx="60">
                  <c:v>3.2517730855275984E-3</c:v>
                </c:pt>
                <c:pt idx="61">
                  <c:v>3.2382522190378404E-3</c:v>
                </c:pt>
                <c:pt idx="62">
                  <c:v>3.2247875722860586E-3</c:v>
                </c:pt>
                <c:pt idx="63">
                  <c:v>3.2113789115104652E-3</c:v>
                </c:pt>
                <c:pt idx="64">
                  <c:v>3.1980260039218278E-3</c:v>
                </c:pt>
                <c:pt idx="65">
                  <c:v>3.1847286176982514E-3</c:v>
                </c:pt>
                <c:pt idx="66">
                  <c:v>3.1714865219819588E-3</c:v>
                </c:pt>
                <c:pt idx="67">
                  <c:v>3.1582994868752934E-3</c:v>
                </c:pt>
                <c:pt idx="68">
                  <c:v>3.1451672834363897E-3</c:v>
                </c:pt>
                <c:pt idx="69">
                  <c:v>3.1320896836749545E-3</c:v>
                </c:pt>
                <c:pt idx="70">
                  <c:v>3.1190664605492691E-3</c:v>
                </c:pt>
                <c:pt idx="71">
                  <c:v>3.1060973879614151E-3</c:v>
                </c:pt>
                <c:pt idx="72">
                  <c:v>3.0931822407532783E-3</c:v>
                </c:pt>
                <c:pt idx="73">
                  <c:v>3.0803207947032174E-3</c:v>
                </c:pt>
                <c:pt idx="74">
                  <c:v>3.0675128265229556E-3</c:v>
                </c:pt>
                <c:pt idx="75">
                  <c:v>3.0547581138499202E-3</c:v>
                </c:pt>
                <c:pt idx="76">
                  <c:v>3.0420564352489077E-3</c:v>
                </c:pt>
                <c:pt idx="77">
                  <c:v>3.0294075702039791E-3</c:v>
                </c:pt>
                <c:pt idx="78">
                  <c:v>3.016811299116684E-3</c:v>
                </c:pt>
                <c:pt idx="79">
                  <c:v>3.0042674033013972E-3</c:v>
                </c:pt>
                <c:pt idx="80">
                  <c:v>2.9917756649815441E-3</c:v>
                </c:pt>
                <c:pt idx="81">
                  <c:v>2.9793358672868253E-3</c:v>
                </c:pt>
                <c:pt idx="82">
                  <c:v>2.9669477942477762E-3</c:v>
                </c:pt>
                <c:pt idx="83">
                  <c:v>2.9546112307936578E-3</c:v>
                </c:pt>
                <c:pt idx="84">
                  <c:v>2.9423259627475717E-3</c:v>
                </c:pt>
                <c:pt idx="85">
                  <c:v>2.9300917768234624E-3</c:v>
                </c:pt>
                <c:pt idx="86">
                  <c:v>2.9179084606216765E-3</c:v>
                </c:pt>
                <c:pt idx="87">
                  <c:v>2.9057758026262981E-3</c:v>
                </c:pt>
                <c:pt idx="88">
                  <c:v>2.8936935922004858E-3</c:v>
                </c:pt>
                <c:pt idx="89">
                  <c:v>2.8816616195832534E-3</c:v>
                </c:pt>
                <c:pt idx="90">
                  <c:v>2.8696796758860277E-3</c:v>
                </c:pt>
                <c:pt idx="91">
                  <c:v>2.857747553088652E-3</c:v>
                </c:pt>
                <c:pt idx="92">
                  <c:v>2.8458650440357225E-3</c:v>
                </c:pt>
                <c:pt idx="93">
                  <c:v>2.8340319424334792E-3</c:v>
                </c:pt>
                <c:pt idx="94">
                  <c:v>2.8222480428459207E-3</c:v>
                </c:pt>
                <c:pt idx="95">
                  <c:v>2.8105131406912509E-3</c:v>
                </c:pt>
                <c:pt idx="96">
                  <c:v>2.7988270322378828E-3</c:v>
                </c:pt>
                <c:pt idx="97">
                  <c:v>2.7871895146019954E-3</c:v>
                </c:pt>
                <c:pt idx="98">
                  <c:v>2.7756003857429823E-3</c:v>
                </c:pt>
                <c:pt idx="99">
                  <c:v>2.7640594444603428E-3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17152"/>
        <c:axId val="172019072"/>
      </c:scatterChart>
      <c:valAx>
        <c:axId val="17200934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2010880"/>
        <c:crosses val="autoZero"/>
        <c:crossBetween val="midCat"/>
      </c:valAx>
      <c:valAx>
        <c:axId val="172010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Swaption value (expected exposure)</a:t>
                </a:r>
              </a:p>
            </c:rich>
          </c:tx>
          <c:layout>
            <c:manualLayout>
              <c:xMode val="edge"/>
              <c:yMode val="edge"/>
              <c:x val="1.9863438857852266E-2"/>
              <c:y val="0.10271033829104696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72009344"/>
        <c:crosses val="autoZero"/>
        <c:crossBetween val="midCat"/>
      </c:valAx>
      <c:valAx>
        <c:axId val="172017152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019072"/>
        <c:crosses val="autoZero"/>
        <c:crossBetween val="midCat"/>
      </c:valAx>
      <c:valAx>
        <c:axId val="1720190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Marginal Default Probability</a:t>
                </a:r>
              </a:p>
            </c:rich>
          </c:tx>
          <c:layout/>
          <c:overlay val="0"/>
        </c:title>
        <c:numFmt formatCode="0.00%" sourceLinked="0"/>
        <c:majorTickMark val="out"/>
        <c:minorTickMark val="none"/>
        <c:tickLblPos val="nextTo"/>
        <c:crossAx val="172017152"/>
        <c:crosses val="max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6374238136433"/>
          <c:y val="2.7777777777777776E-2"/>
          <c:w val="0.36225066838712194"/>
          <c:h val="8.371719160104985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oftraining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http://www.oftrain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314325</xdr:colOff>
      <xdr:row>7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0" y="9525"/>
          <a:ext cx="4762500" cy="1123950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CVA Calculations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Simple standard CVA calculations under the assumption of no wrong-way risk.</a:t>
          </a:r>
        </a:p>
        <a:p>
          <a:pPr algn="l" rtl="0">
            <a:defRPr sz="1000"/>
          </a:pPr>
          <a:endParaRPr lang="en-GB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447675</xdr:colOff>
      <xdr:row>2</xdr:row>
      <xdr:rowOff>114300</xdr:rowOff>
    </xdr:from>
    <xdr:to>
      <xdr:col>8</xdr:col>
      <xdr:colOff>571500</xdr:colOff>
      <xdr:row>5</xdr:row>
      <xdr:rowOff>66675</xdr:rowOff>
    </xdr:to>
    <xdr:sp macro="" textlink="">
      <xdr:nvSpPr>
        <xdr:cNvPr id="512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895850" y="438150"/>
          <a:ext cx="2228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12</xdr:col>
      <xdr:colOff>590550</xdr:colOff>
      <xdr:row>24</xdr:row>
      <xdr:rowOff>0</xdr:rowOff>
    </xdr:to>
    <xdr:graphicFrame macro="">
      <xdr:nvGraphicFramePr>
        <xdr:cNvPr id="5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38100</xdr:colOff>
      <xdr:row>6</xdr:row>
      <xdr:rowOff>152400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9525" y="0"/>
          <a:ext cx="5534025" cy="1123950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Semi-Analytical Swap CVA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Semi-analytical calculation of CVA for an interest-rate swap. Some simplifying assumptions are made for the swap calculation and yield curve input.</a:t>
          </a:r>
        </a:p>
      </xdr:txBody>
    </xdr:sp>
    <xdr:clientData/>
  </xdr:twoCellAnchor>
  <xdr:twoCellAnchor>
    <xdr:from>
      <xdr:col>8</xdr:col>
      <xdr:colOff>171450</xdr:colOff>
      <xdr:row>2</xdr:row>
      <xdr:rowOff>85725</xdr:rowOff>
    </xdr:from>
    <xdr:to>
      <xdr:col>10</xdr:col>
      <xdr:colOff>885825</xdr:colOff>
      <xdr:row>5</xdr:row>
      <xdr:rowOff>152400</xdr:rowOff>
    </xdr:to>
    <xdr:sp macro="" textlink="">
      <xdr:nvSpPr>
        <xdr:cNvPr id="4098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676900" y="409575"/>
          <a:ext cx="2066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xdr:twoCellAnchor>
    <xdr:from>
      <xdr:col>5</xdr:col>
      <xdr:colOff>200025</xdr:colOff>
      <xdr:row>10</xdr:row>
      <xdr:rowOff>0</xdr:rowOff>
    </xdr:from>
    <xdr:to>
      <xdr:col>12</xdr:col>
      <xdr:colOff>600075</xdr:colOff>
      <xdr:row>26</xdr:row>
      <xdr:rowOff>76200</xdr:rowOff>
    </xdr:to>
    <xdr:graphicFrame macro="">
      <xdr:nvGraphicFramePr>
        <xdr:cNvPr id="41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CRBook/ExampleExercises/Chapter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CourseSpreadsheets/QTinRM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StructuringandPricingCreditDerivs/CreditDerivsExamp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NP_BasketCDOPric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CounterpartyRiskandCollateralManagement/PricingExamples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Gregory/My%20Documents/Book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Gregory/My%20Documents/TrainingCourses/StructuringandPricingCreditDerivs/CreditDerivsExamples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CourseSpreadsheets/BilateralCntrptyRiskCalc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Gregory/My%20Documents/MotivationalTraining/CourseSpreadsheets/econ422PresentValueProblem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CounterpartyRiskandCollateralManagement/StructuringandPricingCreditDerivs/CreditDerivsExam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LFSModernCreditDerivs/LFS_MCD_Deleg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CounterpartyRiskandCollateralManagement/CntrptyRiskEuromoneyExamples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ConvertibleBondsandCSA/CB_CSA_Exampl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Gregory/My%20Documents/MotivationalTraining/CourseSpreadsheets/QTinRM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Gregory/My%20Documents/MotivationalTraining/CourseSpreadsheets/EuromoneyExamples_FMforNQ_Day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/Documents/TrainingCourses/CourseSpreadsheets/CntrptyRiskEuromoneyOL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Gregory/My%20Documents/MotivationalTraining/CourseSpreadsheets/EuromoneyExamples_FMforNQ_Day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Gregory/My%20Documents/MotivationalTraining/CourseSpreadsheets/EuromoneyExamples_FMforNQ_Day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heet8.1"/>
      <sheetName val="Spreadsheet8.2"/>
      <sheetName val="Spreadsheet8.3"/>
      <sheetName val="Spreadsheet8.4"/>
    </sheetNames>
    <sheetDataSet>
      <sheetData sheetId="0" refreshError="1"/>
      <sheetData sheetId="1">
        <row r="10">
          <cell r="C10">
            <v>100</v>
          </cell>
          <cell r="F10">
            <v>105.12710963760242</v>
          </cell>
        </row>
        <row r="11">
          <cell r="C11">
            <v>100</v>
          </cell>
          <cell r="F11">
            <v>0.32500000000000001</v>
          </cell>
        </row>
        <row r="12">
          <cell r="C12">
            <v>0.25</v>
          </cell>
          <cell r="F12">
            <v>7.5000000000000289E-2</v>
          </cell>
        </row>
        <row r="13">
          <cell r="C13">
            <v>1</v>
          </cell>
          <cell r="F13">
            <v>9.5162581964040482E-2</v>
          </cell>
        </row>
        <row r="14">
          <cell r="C14">
            <v>0.05</v>
          </cell>
          <cell r="F14">
            <v>-1.3096177994584934</v>
          </cell>
        </row>
        <row r="16">
          <cell r="C16">
            <v>0.25</v>
          </cell>
        </row>
      </sheetData>
      <sheetData sheetId="2" refreshError="1"/>
      <sheetData sheetId="3">
        <row r="12">
          <cell r="C12">
            <v>100</v>
          </cell>
        </row>
        <row r="13">
          <cell r="C13">
            <v>100</v>
          </cell>
        </row>
        <row r="14">
          <cell r="C14">
            <v>0.4</v>
          </cell>
        </row>
        <row r="15">
          <cell r="C15">
            <v>0.4</v>
          </cell>
        </row>
        <row r="16">
          <cell r="C16">
            <v>0.5</v>
          </cell>
        </row>
        <row r="17">
          <cell r="C1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Portfolio"/>
      <sheetName val="MonteCarlo"/>
      <sheetName val="HomogeneousApproximation"/>
      <sheetName val="ConditionalNormalApproximation"/>
      <sheetName val="Recursion"/>
      <sheetName val="Compare"/>
      <sheetName val="IntegrationPoints"/>
    </sheetNames>
    <sheetDataSet>
      <sheetData sheetId="0" refreshError="1"/>
      <sheetData sheetId="1" refreshError="1"/>
      <sheetData sheetId="2" refreshError="1"/>
      <sheetData sheetId="3">
        <row r="6">
          <cell r="C6">
            <v>100</v>
          </cell>
        </row>
        <row r="7">
          <cell r="C7">
            <v>110</v>
          </cell>
        </row>
        <row r="16">
          <cell r="C16">
            <v>15.210083301374098</v>
          </cell>
        </row>
        <row r="17">
          <cell r="C17">
            <v>94.789916698625916</v>
          </cell>
        </row>
        <row r="24">
          <cell r="C24">
            <v>0.82704839804623798</v>
          </cell>
        </row>
        <row r="25">
          <cell r="C25">
            <v>4.3602716212886605</v>
          </cell>
        </row>
      </sheetData>
      <sheetData sheetId="4">
        <row r="6">
          <cell r="C6">
            <v>100</v>
          </cell>
        </row>
        <row r="7">
          <cell r="C7">
            <v>0.5</v>
          </cell>
        </row>
        <row r="8">
          <cell r="C8">
            <v>0.3</v>
          </cell>
        </row>
        <row r="9">
          <cell r="C9">
            <v>0.5</v>
          </cell>
        </row>
        <row r="10">
          <cell r="C10">
            <v>100</v>
          </cell>
        </row>
        <row r="11">
          <cell r="C11">
            <v>5</v>
          </cell>
        </row>
        <row r="14">
          <cell r="C14">
            <v>0.33333333333333331</v>
          </cell>
        </row>
        <row r="15">
          <cell r="C15">
            <v>0.80346471954626331</v>
          </cell>
        </row>
        <row r="16">
          <cell r="C16">
            <v>3.2825228511156315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CDSStripper"/>
      <sheetName val="BaseCorrelation"/>
      <sheetName val="Bespoke"/>
    </sheetNames>
    <sheetDataSet>
      <sheetData sheetId="0"/>
      <sheetData sheetId="1"/>
      <sheetData sheetId="2"/>
      <sheetData sheetId="3"/>
      <sheetData sheetId="4"/>
      <sheetData sheetId="5" refreshError="1">
        <row r="8">
          <cell r="D8">
            <v>0.6</v>
          </cell>
        </row>
      </sheetData>
      <sheetData sheetId="6" refreshError="1">
        <row r="10">
          <cell r="D10">
            <v>4.3</v>
          </cell>
        </row>
      </sheetData>
      <sheetData sheetId="7" refreshError="1">
        <row r="7">
          <cell r="I7">
            <v>0.4</v>
          </cell>
        </row>
        <row r="10">
          <cell r="I10">
            <v>146.43600646972706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Basket"/>
      <sheetName val="CDO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ketPricer"/>
      <sheetName val="CDSStripper"/>
      <sheetName val="IndexBasis"/>
      <sheetName val="DefTime"/>
      <sheetName val="NumDefaults"/>
      <sheetName val="Survival"/>
      <sheetName val="Mapping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>
        <row r="4">
          <cell r="D4">
            <v>0.1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ImpliedDefProb"/>
      <sheetName val="BaseCorrelation"/>
      <sheetName val="Bespoke"/>
    </sheetNames>
    <sheetDataSet>
      <sheetData sheetId="0" refreshError="1"/>
      <sheetData sheetId="1" refreshError="1"/>
      <sheetData sheetId="2" refreshError="1"/>
      <sheetData sheetId="3">
        <row r="13">
          <cell r="C13">
            <v>1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>
        <row r="16">
          <cell r="C16" t="str">
            <v>Linear</v>
          </cell>
        </row>
      </sheetData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Numbers"/>
      <sheetName val="RandomVariables"/>
      <sheetName val="Sheet1"/>
      <sheetName val="Sheet2"/>
      <sheetName val="Exposure"/>
      <sheetName val="Sheet3"/>
      <sheetName val="Sheet4"/>
      <sheetName val="Credit"/>
      <sheetName val="Results"/>
      <sheetName val="Batch"/>
    </sheetNames>
    <sheetDataSet>
      <sheetData sheetId="0">
        <row r="4">
          <cell r="B4">
            <v>0.1668250983026931</v>
          </cell>
          <cell r="H4">
            <v>-0.19375268532755768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Problems"/>
      <sheetName val="PV functions"/>
      <sheetName val="Sheet3"/>
    </sheetNames>
    <sheetDataSet>
      <sheetData sheetId="0">
        <row r="39">
          <cell r="G39">
            <v>10000000</v>
          </cell>
          <cell r="H39">
            <v>0.05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CDSStripper"/>
      <sheetName val="BaseCorrelation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fulExcelFormulas"/>
      <sheetName val="SimpleSpreadCDSPricer"/>
      <sheetName val="Bond-CDS Basis"/>
      <sheetName val="IndexBasis"/>
      <sheetName val="CancellableCDS"/>
      <sheetName val="CMDS"/>
      <sheetName val="BasketPricer"/>
      <sheetName val="BasketMC"/>
      <sheetName val="HistoricalDefProbs"/>
      <sheetName val="ImpliedDefProb"/>
      <sheetName val="CDOPricer"/>
      <sheetName val="BaseCorrelation"/>
      <sheetName val="Bespoke"/>
      <sheetName val="CDSCntrptyRisk"/>
    </sheetNames>
    <sheetDataSet>
      <sheetData sheetId="0"/>
      <sheetData sheetId="1">
        <row r="12">
          <cell r="C12">
            <v>250</v>
          </cell>
        </row>
        <row r="14">
          <cell r="C14">
            <v>0.4</v>
          </cell>
        </row>
        <row r="15">
          <cell r="C15">
            <v>5</v>
          </cell>
        </row>
        <row r="19">
          <cell r="C19">
            <v>4.0108727761500029</v>
          </cell>
        </row>
      </sheetData>
      <sheetData sheetId="2">
        <row r="9">
          <cell r="Q9">
            <v>5</v>
          </cell>
        </row>
        <row r="11">
          <cell r="C11">
            <v>0.05</v>
          </cell>
        </row>
        <row r="13">
          <cell r="C13">
            <v>7.0000000000000007E-2</v>
          </cell>
        </row>
        <row r="14">
          <cell r="C14">
            <v>0.4</v>
          </cell>
        </row>
        <row r="19">
          <cell r="C19">
            <v>4.3972560614593412</v>
          </cell>
        </row>
        <row r="21">
          <cell r="C21">
            <v>0.30227097813081494</v>
          </cell>
        </row>
      </sheetData>
      <sheetData sheetId="3"/>
      <sheetData sheetId="4">
        <row r="12">
          <cell r="C12">
            <v>2</v>
          </cell>
        </row>
        <row r="17">
          <cell r="F17">
            <v>0</v>
          </cell>
        </row>
        <row r="18">
          <cell r="F18">
            <v>354.94586357346907</v>
          </cell>
        </row>
        <row r="22">
          <cell r="F22" t="e">
            <v>#NUM!</v>
          </cell>
        </row>
      </sheetData>
      <sheetData sheetId="5">
        <row r="12">
          <cell r="C12">
            <v>5</v>
          </cell>
        </row>
        <row r="15">
          <cell r="B15" t="str">
            <v>CDS Curve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6</v>
          </cell>
        </row>
        <row r="23">
          <cell r="B23">
            <v>7</v>
          </cell>
        </row>
        <row r="24">
          <cell r="B24">
            <v>8</v>
          </cell>
        </row>
        <row r="25">
          <cell r="B25">
            <v>9</v>
          </cell>
        </row>
        <row r="26">
          <cell r="B26">
            <v>10</v>
          </cell>
        </row>
      </sheetData>
      <sheetData sheetId="6">
        <row r="14">
          <cell r="C14">
            <v>5</v>
          </cell>
        </row>
        <row r="15">
          <cell r="C15">
            <v>0</v>
          </cell>
        </row>
      </sheetData>
      <sheetData sheetId="7">
        <row r="11">
          <cell r="C11">
            <v>0.4</v>
          </cell>
        </row>
      </sheetData>
      <sheetData sheetId="8"/>
      <sheetData sheetId="9">
        <row r="11">
          <cell r="K11" t="str">
            <v>MTM</v>
          </cell>
        </row>
        <row r="14">
          <cell r="C14" t="b">
            <v>0</v>
          </cell>
        </row>
      </sheetData>
      <sheetData sheetId="10">
        <row r="11">
          <cell r="C11">
            <v>0.4</v>
          </cell>
          <cell r="G11" t="e">
            <v>#VALUE!</v>
          </cell>
        </row>
        <row r="12">
          <cell r="C12">
            <v>5</v>
          </cell>
          <cell r="G12" t="e">
            <v>#VALUE!</v>
          </cell>
        </row>
        <row r="13">
          <cell r="C13">
            <v>100</v>
          </cell>
        </row>
        <row r="14">
          <cell r="C14">
            <v>0.05</v>
          </cell>
          <cell r="K14" t="str">
            <v>Payoff</v>
          </cell>
          <cell r="L14" t="str">
            <v>Marg Payoff</v>
          </cell>
          <cell r="Q14">
            <v>0.30042217834319868</v>
          </cell>
        </row>
        <row r="15">
          <cell r="C15">
            <v>50</v>
          </cell>
          <cell r="Q15" t="e">
            <v>#NUM!</v>
          </cell>
        </row>
        <row r="16">
          <cell r="Q16">
            <v>1.004987562112089</v>
          </cell>
        </row>
        <row r="17">
          <cell r="C17">
            <v>0.04</v>
          </cell>
        </row>
        <row r="18">
          <cell r="C18">
            <v>0.08</v>
          </cell>
        </row>
        <row r="19">
          <cell r="C19">
            <v>1000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ExposureSim"/>
      <sheetName val="Netting"/>
      <sheetName val="HistoricalDefProbs"/>
      <sheetName val="CDSStripper"/>
      <sheetName val="PFE and Netting"/>
      <sheetName val="CVA"/>
      <sheetName val="EPEAllocation"/>
      <sheetName val="Impact of PV"/>
      <sheetName val="CollateralMarginCall"/>
      <sheetName val="Portfolio"/>
      <sheetName val="MonteCarlo"/>
      <sheetName val="CDSCntrptyRisk"/>
      <sheetName val="SimpleWrongWay"/>
    </sheetNames>
    <sheetDataSet>
      <sheetData sheetId="0" refreshError="1"/>
      <sheetData sheetId="1"/>
      <sheetData sheetId="2" refreshError="1">
        <row r="8">
          <cell r="D8">
            <v>5</v>
          </cell>
        </row>
        <row r="9">
          <cell r="D9">
            <v>10</v>
          </cell>
        </row>
      </sheetData>
      <sheetData sheetId="3" refreshError="1"/>
      <sheetData sheetId="4" refreshError="1">
        <row r="9">
          <cell r="C9" t="str">
            <v>Hazard Rate</v>
          </cell>
          <cell r="H9" t="str">
            <v>Error</v>
          </cell>
        </row>
        <row r="10">
          <cell r="L10">
            <v>1.6391422743333293E-2</v>
          </cell>
        </row>
      </sheetData>
      <sheetData sheetId="5" refreshError="1"/>
      <sheetData sheetId="6" refreshError="1">
        <row r="8">
          <cell r="D8">
            <v>3.7499999999999999E-2</v>
          </cell>
        </row>
        <row r="13">
          <cell r="C13">
            <v>0.05</v>
          </cell>
        </row>
      </sheetData>
      <sheetData sheetId="7" refreshError="1">
        <row r="7">
          <cell r="H7">
            <v>1</v>
          </cell>
          <cell r="I7">
            <v>1</v>
          </cell>
        </row>
        <row r="22">
          <cell r="C22">
            <v>-1.0229796438974148</v>
          </cell>
          <cell r="D22">
            <v>4.4427438893026583</v>
          </cell>
        </row>
        <row r="23">
          <cell r="C23">
            <v>3.4197642454052435</v>
          </cell>
        </row>
      </sheetData>
      <sheetData sheetId="8" refreshError="1">
        <row r="19">
          <cell r="C19">
            <v>3.6342645260068154E-2</v>
          </cell>
        </row>
      </sheetData>
      <sheetData sheetId="9" refreshError="1">
        <row r="6">
          <cell r="C6">
            <v>500000</v>
          </cell>
          <cell r="G6">
            <v>250000</v>
          </cell>
        </row>
        <row r="7">
          <cell r="C7">
            <v>0</v>
          </cell>
          <cell r="D7">
            <v>0</v>
          </cell>
          <cell r="G7">
            <v>10</v>
          </cell>
        </row>
        <row r="8">
          <cell r="D8">
            <v>100000000</v>
          </cell>
          <cell r="G8">
            <v>10121971</v>
          </cell>
        </row>
        <row r="9">
          <cell r="C9">
            <v>500000</v>
          </cell>
          <cell r="G9">
            <v>1000</v>
          </cell>
        </row>
        <row r="10">
          <cell r="C10">
            <v>100000</v>
          </cell>
          <cell r="D10">
            <v>100000</v>
          </cell>
        </row>
        <row r="11">
          <cell r="C11">
            <v>-50000</v>
          </cell>
        </row>
        <row r="12">
          <cell r="C12">
            <v>500000</v>
          </cell>
        </row>
        <row r="13">
          <cell r="C13">
            <v>0</v>
          </cell>
        </row>
        <row r="14">
          <cell r="C14" t="str">
            <v>NO</v>
          </cell>
        </row>
      </sheetData>
      <sheetData sheetId="10" refreshError="1">
        <row r="8">
          <cell r="D8">
            <v>-1.795495199122906</v>
          </cell>
          <cell r="E8">
            <v>10</v>
          </cell>
          <cell r="F8">
            <v>15</v>
          </cell>
          <cell r="G8">
            <v>12.266794707366055</v>
          </cell>
          <cell r="J8">
            <v>0.99</v>
          </cell>
        </row>
        <row r="9">
          <cell r="J9">
            <v>1</v>
          </cell>
        </row>
        <row r="11">
          <cell r="J11">
            <v>0.1</v>
          </cell>
        </row>
      </sheetData>
      <sheetData sheetId="11" refreshError="1">
        <row r="8">
          <cell r="C8">
            <v>10000</v>
          </cell>
        </row>
        <row r="9">
          <cell r="C9">
            <v>5748594</v>
          </cell>
        </row>
      </sheetData>
      <sheetData sheetId="12" refreshError="1">
        <row r="7">
          <cell r="C7">
            <v>0.02</v>
          </cell>
        </row>
        <row r="8">
          <cell r="C8">
            <v>0.01</v>
          </cell>
        </row>
        <row r="9">
          <cell r="C9">
            <v>0.5</v>
          </cell>
        </row>
        <row r="13">
          <cell r="C13">
            <v>0.15351827510938598</v>
          </cell>
        </row>
        <row r="14">
          <cell r="C14">
            <v>7.9955585370676707E-2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BondConvexity"/>
      <sheetName val="HistoricalDefProbs"/>
      <sheetName val="CDSStripper"/>
      <sheetName val="Merton"/>
      <sheetName val="CreditGrades"/>
      <sheetName val="CreditGradesFordExample"/>
      <sheetName val="TradingStrategy"/>
      <sheetName val="TreePricer"/>
      <sheetName val="UnderlyingValueTree"/>
      <sheetName val="OptionPriceTree"/>
      <sheetName val="HedgingSimulation"/>
      <sheetName val="CB_CSA_Examples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9">
          <cell r="C9">
            <v>0.57899999999999996</v>
          </cell>
        </row>
      </sheetData>
      <sheetData sheetId="6" refreshError="1"/>
      <sheetData sheetId="7">
        <row r="8">
          <cell r="C8">
            <v>2.19</v>
          </cell>
        </row>
        <row r="9">
          <cell r="C9">
            <v>937.19433315766491</v>
          </cell>
        </row>
        <row r="10">
          <cell r="C10">
            <v>20</v>
          </cell>
        </row>
      </sheetData>
      <sheetData sheetId="8">
        <row r="9">
          <cell r="C9" t="str">
            <v>Put</v>
          </cell>
        </row>
        <row r="10">
          <cell r="C10">
            <v>500</v>
          </cell>
        </row>
        <row r="11">
          <cell r="C11" t="str">
            <v>No</v>
          </cell>
        </row>
        <row r="14">
          <cell r="C14">
            <v>20</v>
          </cell>
        </row>
        <row r="18">
          <cell r="C18">
            <v>0.04</v>
          </cell>
        </row>
        <row r="22">
          <cell r="C22">
            <v>5.3165227466956866</v>
          </cell>
        </row>
        <row r="26">
          <cell r="C26">
            <v>0.17185624377065137</v>
          </cell>
        </row>
        <row r="27">
          <cell r="C27">
            <v>-0.27535735172930664</v>
          </cell>
        </row>
      </sheetData>
      <sheetData sheetId="9"/>
      <sheetData sheetId="10"/>
      <sheetData sheetId="11">
        <row r="4">
          <cell r="R4" t="str">
            <v>Simulation Results</v>
          </cell>
        </row>
        <row r="10">
          <cell r="L10">
            <v>1.7484008127580757</v>
          </cell>
        </row>
      </sheetData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UsefulExcelFormulas"/>
      <sheetName val="BinomialVsNormal"/>
      <sheetName val="RandomVariables"/>
      <sheetName val="CoherentRiskMeasuresExample"/>
      <sheetName val="ExponentialDampingEstimate"/>
      <sheetName val="TwoAssetsEfficientFrontier"/>
      <sheetName val="OptionPricer"/>
      <sheetName val="HedgingSimulation"/>
    </sheetNames>
    <sheetDataSet>
      <sheetData sheetId="0" refreshError="1"/>
      <sheetData sheetId="1" refreshError="1"/>
      <sheetData sheetId="2" refreshError="1">
        <row r="6">
          <cell r="C6">
            <v>0.1</v>
          </cell>
        </row>
        <row r="7">
          <cell r="C7">
            <v>100</v>
          </cell>
        </row>
      </sheetData>
      <sheetData sheetId="3" refreshError="1"/>
      <sheetData sheetId="4" refreshError="1">
        <row r="7">
          <cell r="I7">
            <v>5</v>
          </cell>
        </row>
        <row r="8">
          <cell r="I8">
            <v>10</v>
          </cell>
        </row>
        <row r="9">
          <cell r="I9">
            <v>2.5000000000000001E-2</v>
          </cell>
        </row>
      </sheetData>
      <sheetData sheetId="5" refreshError="1">
        <row r="6">
          <cell r="C6">
            <v>0.97</v>
          </cell>
        </row>
      </sheetData>
      <sheetData sheetId="6" refreshError="1">
        <row r="7">
          <cell r="C7">
            <v>0.05</v>
          </cell>
        </row>
        <row r="8">
          <cell r="C8">
            <v>0.1</v>
          </cell>
        </row>
      </sheetData>
      <sheetData sheetId="7" refreshError="1">
        <row r="7">
          <cell r="C7">
            <v>125</v>
          </cell>
        </row>
        <row r="9">
          <cell r="C9">
            <v>0.05</v>
          </cell>
        </row>
        <row r="20">
          <cell r="C20">
            <v>50</v>
          </cell>
        </row>
        <row r="21">
          <cell r="C21">
            <v>20</v>
          </cell>
        </row>
      </sheetData>
      <sheetData sheetId="8" refreshError="1">
        <row r="7">
          <cell r="C7">
            <v>100</v>
          </cell>
          <cell r="G7">
            <v>0.1</v>
          </cell>
        </row>
        <row r="8">
          <cell r="G8">
            <v>0.25</v>
          </cell>
        </row>
        <row r="9">
          <cell r="G9">
            <v>4.0000000000000001E-3</v>
          </cell>
        </row>
        <row r="10">
          <cell r="C10">
            <v>0.25</v>
          </cell>
        </row>
        <row r="14">
          <cell r="C14">
            <v>0.125</v>
          </cell>
        </row>
        <row r="15">
          <cell r="C15">
            <v>-0.125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functions"/>
      <sheetName val="YieldExample"/>
      <sheetName val="Bond Price with Excel"/>
      <sheetName val="TwoAssetsEfficientFrontier"/>
      <sheetName val="MeanVariance"/>
      <sheetName val="ValueAtRiskExample"/>
    </sheetNames>
    <sheetDataSet>
      <sheetData sheetId="0" refreshError="1"/>
      <sheetData sheetId="1">
        <row r="2">
          <cell r="C2">
            <v>95</v>
          </cell>
        </row>
        <row r="3">
          <cell r="C3">
            <v>0.06</v>
          </cell>
        </row>
        <row r="4">
          <cell r="C4">
            <v>0.05</v>
          </cell>
        </row>
      </sheetData>
      <sheetData sheetId="2">
        <row r="12">
          <cell r="B12">
            <v>0.1</v>
          </cell>
        </row>
        <row r="13">
          <cell r="B13">
            <v>0.15</v>
          </cell>
        </row>
        <row r="14">
          <cell r="B14">
            <v>37453</v>
          </cell>
        </row>
        <row r="15">
          <cell r="B15">
            <v>1</v>
          </cell>
        </row>
        <row r="16">
          <cell r="B16">
            <v>41744</v>
          </cell>
        </row>
        <row r="18">
          <cell r="B18">
            <v>11.747945205479452</v>
          </cell>
        </row>
        <row r="19">
          <cell r="B19">
            <v>37726</v>
          </cell>
        </row>
        <row r="23">
          <cell r="B23">
            <v>72.99011296894129</v>
          </cell>
        </row>
        <row r="24">
          <cell r="B24">
            <v>2.5205479452054798</v>
          </cell>
        </row>
        <row r="25">
          <cell r="B25">
            <v>75.510660914146769</v>
          </cell>
        </row>
        <row r="27">
          <cell r="B27">
            <v>5.6299835873505106</v>
          </cell>
        </row>
        <row r="58">
          <cell r="B58">
            <v>0.5</v>
          </cell>
        </row>
      </sheetData>
      <sheetData sheetId="3" refreshError="1"/>
      <sheetData sheetId="4">
        <row r="3">
          <cell r="C3">
            <v>0.25</v>
          </cell>
          <cell r="D3">
            <v>0.05</v>
          </cell>
          <cell r="E3">
            <v>0.05</v>
          </cell>
          <cell r="L3">
            <v>1</v>
          </cell>
        </row>
        <row r="4">
          <cell r="C4">
            <v>0.25</v>
          </cell>
          <cell r="D4">
            <v>7.4999999999999997E-2</v>
          </cell>
          <cell r="E4">
            <v>0.08</v>
          </cell>
          <cell r="L4">
            <v>1</v>
          </cell>
        </row>
        <row r="5">
          <cell r="C5">
            <v>0.25</v>
          </cell>
          <cell r="D5">
            <v>0.1</v>
          </cell>
          <cell r="E5">
            <v>0.1</v>
          </cell>
          <cell r="L5">
            <v>1</v>
          </cell>
        </row>
        <row r="6">
          <cell r="C6">
            <v>0.25</v>
          </cell>
          <cell r="D6">
            <v>0.2</v>
          </cell>
          <cell r="E6">
            <v>0.3</v>
          </cell>
          <cell r="L6">
            <v>1</v>
          </cell>
        </row>
        <row r="11">
          <cell r="G11">
            <v>1066.6666666666706</v>
          </cell>
          <cell r="H11">
            <v>333.3333333333357</v>
          </cell>
          <cell r="I11">
            <v>-800.00000000000477</v>
          </cell>
          <cell r="J11">
            <v>-266.66666666666856</v>
          </cell>
        </row>
        <row r="12">
          <cell r="G12">
            <v>333.33333333333451</v>
          </cell>
          <cell r="H12">
            <v>416.66666666666737</v>
          </cell>
          <cell r="I12">
            <v>-500.00000000000153</v>
          </cell>
          <cell r="J12">
            <v>-166.66666666666708</v>
          </cell>
        </row>
        <row r="13">
          <cell r="G13">
            <v>-800.00000000000318</v>
          </cell>
          <cell r="H13">
            <v>-500.00000000000188</v>
          </cell>
          <cell r="I13">
            <v>1028.5714285714325</v>
          </cell>
          <cell r="J13">
            <v>323.8095238095251</v>
          </cell>
        </row>
        <row r="14">
          <cell r="G14">
            <v>-266.66666666666771</v>
          </cell>
          <cell r="H14">
            <v>-166.66666666666728</v>
          </cell>
          <cell r="I14">
            <v>323.8095238095251</v>
          </cell>
          <cell r="J14">
            <v>114.28571428571472</v>
          </cell>
        </row>
        <row r="17">
          <cell r="O17">
            <v>29.107142857142875</v>
          </cell>
        </row>
        <row r="18">
          <cell r="G18">
            <v>0.70351758793969799</v>
          </cell>
          <cell r="J18">
            <v>0.10630000000000001</v>
          </cell>
          <cell r="K18">
            <v>0.26362532637075564</v>
          </cell>
          <cell r="O18">
            <v>9.4866071428571708</v>
          </cell>
        </row>
        <row r="19">
          <cell r="G19">
            <v>0.17587939698492436</v>
          </cell>
          <cell r="K19">
            <v>-6.0369886858137572E-2</v>
          </cell>
          <cell r="O19">
            <v>473.80952380952374</v>
          </cell>
        </row>
        <row r="20">
          <cell r="G20">
            <v>0.11055276381909603</v>
          </cell>
          <cell r="K20">
            <v>0.61702436901653646</v>
          </cell>
          <cell r="O20">
            <v>3647.6190476190595</v>
          </cell>
        </row>
        <row r="21">
          <cell r="G21">
            <v>1.0050251256281614E-2</v>
          </cell>
          <cell r="K21">
            <v>0.17972019147084439</v>
          </cell>
        </row>
        <row r="23">
          <cell r="O23">
            <v>1.7525179503916461E-3</v>
          </cell>
        </row>
        <row r="32">
          <cell r="C32">
            <v>5.4219927371326176E-3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onteCarlo"/>
      <sheetName val="Information"/>
      <sheetName val="ExposureSim"/>
      <sheetName val="Netting"/>
      <sheetName val="PFE and Netting"/>
      <sheetName val="Impact of PV"/>
      <sheetName val="EPEAllocation"/>
      <sheetName val="CollateralMarginCall"/>
      <sheetName val="CVA"/>
      <sheetName val="CDSCntrptyRis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Formulas"/>
      <sheetName val="VarCovarFormulas"/>
      <sheetName val="SimpleCovarianceWithWeights"/>
      <sheetName val="SimpleIntegration"/>
      <sheetName val="RandomVariablesandCorrelation"/>
    </sheetNames>
    <sheetDataSet>
      <sheetData sheetId="0" refreshError="1"/>
      <sheetData sheetId="1" refreshError="1"/>
      <sheetData sheetId="2">
        <row r="3">
          <cell r="J3">
            <v>0.5</v>
          </cell>
          <cell r="K3">
            <v>0.5</v>
          </cell>
        </row>
        <row r="6">
          <cell r="C6">
            <v>0.1</v>
          </cell>
        </row>
        <row r="7">
          <cell r="C7">
            <v>0.1</v>
          </cell>
        </row>
      </sheetData>
      <sheetData sheetId="3">
        <row r="2">
          <cell r="C2">
            <v>2</v>
          </cell>
        </row>
        <row r="3">
          <cell r="C3">
            <v>3</v>
          </cell>
        </row>
        <row r="4">
          <cell r="C4">
            <v>100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ScholesFormula"/>
      <sheetName val="Formulas"/>
      <sheetName val="MonteCarlo"/>
      <sheetName val="ControlVariate"/>
      <sheetName val="RandomNumbers"/>
    </sheetNames>
    <sheetDataSet>
      <sheetData sheetId="0"/>
      <sheetData sheetId="1"/>
      <sheetData sheetId="2">
        <row r="3">
          <cell r="C3">
            <v>100</v>
          </cell>
          <cell r="F3">
            <v>10</v>
          </cell>
        </row>
        <row r="4">
          <cell r="C4">
            <v>100</v>
          </cell>
          <cell r="F4">
            <v>1000</v>
          </cell>
        </row>
        <row r="5">
          <cell r="C5">
            <v>0.05</v>
          </cell>
          <cell r="F5">
            <v>0.1</v>
          </cell>
        </row>
        <row r="6">
          <cell r="C6">
            <v>1</v>
          </cell>
          <cell r="F6">
            <v>1.001876758911648</v>
          </cell>
        </row>
        <row r="7">
          <cell r="C7">
            <v>0.25</v>
          </cell>
          <cell r="F7">
            <v>7.9056941504209485E-2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Q195"/>
  <sheetViews>
    <sheetView showGridLines="0" tabSelected="1" workbookViewId="0">
      <pane ySplit="7" topLeftCell="A8" activePane="bottomLeft" state="frozen"/>
      <selection pane="bottomLeft" activeCell="E19" sqref="E19"/>
    </sheetView>
  </sheetViews>
  <sheetFormatPr defaultRowHeight="12.75" x14ac:dyDescent="0.2"/>
  <cols>
    <col min="2" max="2" width="21.140625" bestFit="1" customWidth="1"/>
    <col min="3" max="3" width="13.85546875" bestFit="1" customWidth="1"/>
    <col min="4" max="4" width="8.140625" bestFit="1" customWidth="1"/>
    <col min="5" max="5" width="10.140625" customWidth="1"/>
    <col min="6" max="6" width="13.28515625" customWidth="1"/>
  </cols>
  <sheetData>
    <row r="1" spans="2:1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2">
      <c r="C8" s="66" t="s">
        <v>45</v>
      </c>
    </row>
    <row r="9" spans="2:16" ht="13.5" thickBot="1" x14ac:dyDescent="0.25"/>
    <row r="10" spans="2:16" ht="13.5" thickBot="1" x14ac:dyDescent="0.25">
      <c r="B10" s="13" t="s">
        <v>0</v>
      </c>
      <c r="C10" s="14"/>
      <c r="G10" s="15"/>
    </row>
    <row r="11" spans="2:16" x14ac:dyDescent="0.2">
      <c r="B11" s="3" t="s">
        <v>3</v>
      </c>
      <c r="C11" s="67">
        <v>0.4</v>
      </c>
      <c r="G11" s="15"/>
      <c r="H11" s="8"/>
      <c r="I11" s="8"/>
      <c r="J11" s="2"/>
    </row>
    <row r="12" spans="2:16" ht="13.5" thickBot="1" x14ac:dyDescent="0.25">
      <c r="B12" s="16" t="s">
        <v>4</v>
      </c>
      <c r="C12" s="68">
        <v>0.05</v>
      </c>
      <c r="G12" s="15"/>
      <c r="H12" s="8"/>
      <c r="I12" s="8"/>
      <c r="J12" s="7"/>
    </row>
    <row r="13" spans="2:16" ht="13.5" thickBot="1" x14ac:dyDescent="0.25">
      <c r="L13" s="10"/>
    </row>
    <row r="14" spans="2:16" ht="13.5" thickBot="1" x14ac:dyDescent="0.25">
      <c r="B14" s="17" t="s">
        <v>5</v>
      </c>
      <c r="C14" s="18"/>
      <c r="L14" s="10"/>
    </row>
    <row r="15" spans="2:16" x14ac:dyDescent="0.2">
      <c r="B15" s="3" t="s">
        <v>6</v>
      </c>
      <c r="C15" s="69">
        <v>500</v>
      </c>
      <c r="D15" s="2"/>
      <c r="L15" s="10"/>
    </row>
    <row r="16" spans="2:16" x14ac:dyDescent="0.2">
      <c r="B16" s="19" t="s">
        <v>2</v>
      </c>
      <c r="C16" s="79">
        <f ca="1">AVERAGE(E26:E150)</f>
        <v>4.7260288976131168E-3</v>
      </c>
      <c r="L16" s="10"/>
    </row>
    <row r="17" spans="2:17" ht="13.5" thickBot="1" x14ac:dyDescent="0.25">
      <c r="B17" s="16" t="s">
        <v>7</v>
      </c>
      <c r="C17" s="80">
        <f ca="1">EPE*SpreadCntrpty</f>
        <v>2.3630144488065583</v>
      </c>
      <c r="D17" s="2"/>
      <c r="G17" s="20"/>
      <c r="L17" s="10"/>
    </row>
    <row r="18" spans="2:17" ht="13.5" thickBot="1" x14ac:dyDescent="0.25">
      <c r="E18" s="21"/>
      <c r="F18" s="22"/>
      <c r="G18" s="23"/>
      <c r="L18" s="10"/>
    </row>
    <row r="19" spans="2:17" ht="13.5" thickBot="1" x14ac:dyDescent="0.25">
      <c r="B19" s="17" t="s">
        <v>8</v>
      </c>
      <c r="C19" s="18"/>
      <c r="L19" s="10"/>
    </row>
    <row r="20" spans="2:17" x14ac:dyDescent="0.2">
      <c r="B20" s="3" t="s">
        <v>9</v>
      </c>
      <c r="C20" s="81">
        <f ca="1">(1-CntrptyRec)*SUMPRODUCT(D26:D150,E26:E150,F26:F150)</f>
        <v>8.5471561665145389E-4</v>
      </c>
      <c r="E20" s="65"/>
      <c r="L20" s="10"/>
    </row>
    <row r="21" spans="2:17" x14ac:dyDescent="0.2">
      <c r="B21" s="19" t="s">
        <v>10</v>
      </c>
      <c r="C21" s="82">
        <f ca="1">(1-EXP(-(SpreadCntrpty/10000/(1-CntrptyRec)+IRate)*5))/(SpreadCntrpty/10000/(1-CntrptyRec)+IRate)</f>
        <v>3.6493716072555591</v>
      </c>
      <c r="L21" s="10"/>
    </row>
    <row r="22" spans="2:17" ht="13.5" thickBot="1" x14ac:dyDescent="0.25">
      <c r="B22" s="16" t="s">
        <v>7</v>
      </c>
      <c r="C22" s="80">
        <f ca="1">C20/C21*10000</f>
        <v>2.3420898407609045</v>
      </c>
      <c r="L22" s="10"/>
    </row>
    <row r="23" spans="2:17" ht="13.5" thickBot="1" x14ac:dyDescent="0.25">
      <c r="L23" s="10"/>
      <c r="O23" t="s">
        <v>44</v>
      </c>
    </row>
    <row r="24" spans="2:17" ht="13.5" thickBot="1" x14ac:dyDescent="0.25">
      <c r="B24" s="11"/>
      <c r="C24" s="12" t="s">
        <v>11</v>
      </c>
      <c r="D24" s="24" t="s">
        <v>33</v>
      </c>
      <c r="E24" s="12" t="s">
        <v>1</v>
      </c>
      <c r="F24" s="12" t="s">
        <v>12</v>
      </c>
      <c r="G24" s="14" t="s">
        <v>9</v>
      </c>
      <c r="L24" s="10"/>
      <c r="O24" t="s">
        <v>16</v>
      </c>
      <c r="P24" s="64"/>
      <c r="Q24" s="46">
        <f ca="1">IF(P24="",SpreadCntrpty/(1-CntrptyRec)/10000,P24)</f>
        <v>8.3333333333333343E-2</v>
      </c>
    </row>
    <row r="25" spans="2:17" x14ac:dyDescent="0.2">
      <c r="B25" s="25">
        <v>0</v>
      </c>
      <c r="C25" s="26">
        <f ca="1">EXP(-B25*IntensityCntrpty)</f>
        <v>1</v>
      </c>
      <c r="D25" s="9"/>
      <c r="E25" s="27"/>
      <c r="F25" s="28"/>
      <c r="G25" s="29"/>
      <c r="L25" s="10"/>
      <c r="O25" t="s">
        <v>17</v>
      </c>
      <c r="P25" s="64"/>
      <c r="Q25" s="46">
        <f ca="1">IF(P25="",SpreadCntrpty/(1-CntrptyRec)/10000,P25)</f>
        <v>8.3333333333333343E-2</v>
      </c>
    </row>
    <row r="26" spans="2:17" x14ac:dyDescent="0.2">
      <c r="B26" s="25">
        <f t="shared" ref="B26:B57" ca="1" si="0">B25+0.04</f>
        <v>0.04</v>
      </c>
      <c r="C26" s="30">
        <f t="shared" ref="C26:C50" ca="1" si="1">C25*EXP(-(B26-B25)*HazardRate1)</f>
        <v>0.99667221605452327</v>
      </c>
      <c r="D26" s="31">
        <f t="shared" ref="D26:D57" ca="1" si="2">C25-C26</f>
        <v>3.3277839454767255E-3</v>
      </c>
      <c r="E26" s="32">
        <v>2.2050037337122911E-4</v>
      </c>
      <c r="F26" s="34">
        <f t="shared" ref="F26:F57" ca="1" si="3">EXP(-IRate*B26)</f>
        <v>0.99800199866733308</v>
      </c>
      <c r="G26" s="35">
        <f t="shared" ref="G26:G57" ca="1" si="4">D26*E26*F26</f>
        <v>7.3231151384877096E-7</v>
      </c>
      <c r="L26" s="10"/>
      <c r="O26" t="s">
        <v>18</v>
      </c>
      <c r="P26" s="64"/>
      <c r="Q26" s="46">
        <f ca="1">IF(P26="",SpreadCntrpty/(1-CntrptyRec)/10000,P26)</f>
        <v>8.3333333333333343E-2</v>
      </c>
    </row>
    <row r="27" spans="2:17" x14ac:dyDescent="0.2">
      <c r="B27" s="25">
        <f t="shared" ca="1" si="0"/>
        <v>0.08</v>
      </c>
      <c r="C27" s="30">
        <f t="shared" ca="1" si="1"/>
        <v>0.99335550625503433</v>
      </c>
      <c r="D27" s="31">
        <f t="shared" ca="1" si="2"/>
        <v>3.3167097994889483E-3</v>
      </c>
      <c r="E27" s="32">
        <v>4.4236221264193907E-4</v>
      </c>
      <c r="F27" s="34">
        <f t="shared" ca="1" si="3"/>
        <v>0.99600798934399148</v>
      </c>
      <c r="G27" s="35">
        <f t="shared" ca="1" si="4"/>
        <v>1.4613300591130873E-6</v>
      </c>
      <c r="L27" s="10"/>
      <c r="O27" t="s">
        <v>19</v>
      </c>
      <c r="P27" s="64"/>
      <c r="Q27" s="46">
        <f ca="1">IF(P27="",SpreadCntrpty/(1-CntrptyRec)/10000,P27)</f>
        <v>8.3333333333333343E-2</v>
      </c>
    </row>
    <row r="28" spans="2:17" x14ac:dyDescent="0.2">
      <c r="B28" s="25">
        <f t="shared" ca="1" si="0"/>
        <v>0.12</v>
      </c>
      <c r="C28" s="30">
        <f t="shared" ca="1" si="1"/>
        <v>0.99004983374916788</v>
      </c>
      <c r="D28" s="31">
        <f t="shared" ca="1" si="2"/>
        <v>3.3056725058664416E-3</v>
      </c>
      <c r="E28" s="32">
        <v>6.668485128685554E-4</v>
      </c>
      <c r="F28" s="34">
        <f t="shared" ca="1" si="3"/>
        <v>0.99401796405393528</v>
      </c>
      <c r="G28" s="35">
        <f t="shared" ca="1" si="4"/>
        <v>2.1911960974515181E-6</v>
      </c>
      <c r="L28" s="10"/>
      <c r="O28" t="s">
        <v>20</v>
      </c>
      <c r="P28" s="64"/>
      <c r="Q28" s="46">
        <f ca="1">IF(P28="",SpreadCntrpty/(1-CntrptyRec)/10000,P28)</f>
        <v>8.3333333333333343E-2</v>
      </c>
    </row>
    <row r="29" spans="2:17" x14ac:dyDescent="0.2">
      <c r="B29" s="25">
        <f t="shared" ca="1" si="0"/>
        <v>0.16</v>
      </c>
      <c r="C29" s="30">
        <f t="shared" ca="1" si="1"/>
        <v>0.98675516180719547</v>
      </c>
      <c r="D29" s="31">
        <f t="shared" ca="1" si="2"/>
        <v>3.2946719419724158E-3</v>
      </c>
      <c r="E29" s="32">
        <v>8.8709720428328418E-4</v>
      </c>
      <c r="F29" s="34">
        <f t="shared" ca="1" si="3"/>
        <v>0.99203191483706066</v>
      </c>
      <c r="G29" s="35">
        <f t="shared" ca="1" si="4"/>
        <v>2.8994059919156396E-6</v>
      </c>
      <c r="L29" s="10"/>
    </row>
    <row r="30" spans="2:17" x14ac:dyDescent="0.2">
      <c r="B30" s="25">
        <f t="shared" ca="1" si="0"/>
        <v>0.2</v>
      </c>
      <c r="C30" s="30">
        <f t="shared" ca="1" si="1"/>
        <v>0.98347145382161716</v>
      </c>
      <c r="D30" s="31">
        <f t="shared" ca="1" si="2"/>
        <v>3.2837079855783102E-3</v>
      </c>
      <c r="E30" s="32">
        <v>1.1088765306023994E-3</v>
      </c>
      <c r="F30" s="34">
        <f t="shared" ca="1" si="3"/>
        <v>0.99004983374916811</v>
      </c>
      <c r="G30" s="35">
        <f t="shared" ca="1" si="4"/>
        <v>3.6049959073528327E-6</v>
      </c>
      <c r="L30" s="10"/>
    </row>
    <row r="31" spans="2:17" x14ac:dyDescent="0.2">
      <c r="B31" s="25">
        <f t="shared" ca="1" si="0"/>
        <v>0.24000000000000002</v>
      </c>
      <c r="C31" s="30">
        <f t="shared" ca="1" si="1"/>
        <v>0.98019867330675492</v>
      </c>
      <c r="D31" s="31">
        <f t="shared" ca="1" si="2"/>
        <v>3.2727805148622391E-3</v>
      </c>
      <c r="E31" s="32">
        <v>1.3325901037198342E-3</v>
      </c>
      <c r="F31" s="34">
        <f t="shared" ca="1" si="3"/>
        <v>0.98807171286193052</v>
      </c>
      <c r="G31" s="35">
        <f t="shared" ca="1" si="4"/>
        <v>4.3092523861500843E-6</v>
      </c>
      <c r="L31" s="10"/>
    </row>
    <row r="32" spans="2:17" x14ac:dyDescent="0.2">
      <c r="B32" s="25">
        <f t="shared" ca="1" si="0"/>
        <v>0.28000000000000003</v>
      </c>
      <c r="C32" s="30">
        <f t="shared" ca="1" si="1"/>
        <v>0.97693678389834715</v>
      </c>
      <c r="D32" s="31">
        <f t="shared" ca="1" si="2"/>
        <v>3.2618894084077699E-3</v>
      </c>
      <c r="E32" s="32">
        <v>1.56177654983027E-3</v>
      </c>
      <c r="F32" s="34">
        <f t="shared" ca="1" si="3"/>
        <v>0.98609754426286189</v>
      </c>
      <c r="G32" s="35">
        <f t="shared" ca="1" si="4"/>
        <v>5.0235185166571401E-6</v>
      </c>
      <c r="L32" s="10"/>
    </row>
    <row r="33" spans="2:12" x14ac:dyDescent="0.2">
      <c r="B33" s="25">
        <f t="shared" ca="1" si="0"/>
        <v>0.32</v>
      </c>
      <c r="C33" s="30">
        <f t="shared" ca="1" si="1"/>
        <v>0.97368574935314456</v>
      </c>
      <c r="D33" s="31">
        <f t="shared" ca="1" si="2"/>
        <v>3.2510345452025913E-3</v>
      </c>
      <c r="E33" s="32">
        <v>1.7823213469090118E-3</v>
      </c>
      <c r="F33" s="34">
        <f t="shared" ca="1" si="3"/>
        <v>0.98412732005528514</v>
      </c>
      <c r="G33" s="35">
        <f t="shared" ca="1" si="4"/>
        <v>5.7024157989767676E-6</v>
      </c>
      <c r="L33" s="10"/>
    </row>
    <row r="34" spans="2:12" x14ac:dyDescent="0.2">
      <c r="B34" s="25">
        <f t="shared" ca="1" si="0"/>
        <v>0.36</v>
      </c>
      <c r="C34" s="30">
        <f t="shared" ca="1" si="1"/>
        <v>0.97044553354850771</v>
      </c>
      <c r="D34" s="31">
        <f t="shared" ca="1" si="2"/>
        <v>3.2402158046368479E-3</v>
      </c>
      <c r="E34" s="32">
        <v>1.9920373661790145E-3</v>
      </c>
      <c r="F34" s="34">
        <f t="shared" ca="1" si="3"/>
        <v>0.98216103235830077</v>
      </c>
      <c r="G34" s="35">
        <f t="shared" ca="1" si="4"/>
        <v>6.3394870045336535E-6</v>
      </c>
      <c r="L34" s="10"/>
    </row>
    <row r="35" spans="2:12" x14ac:dyDescent="0.2">
      <c r="B35" s="25">
        <f t="shared" ca="1" si="0"/>
        <v>0.39999999999999997</v>
      </c>
      <c r="C35" s="30">
        <f t="shared" ca="1" si="1"/>
        <v>0.96721610048200535</v>
      </c>
      <c r="D35" s="31">
        <f t="shared" ca="1" si="2"/>
        <v>3.2294330665023629E-3</v>
      </c>
      <c r="E35" s="32">
        <v>2.186875972940025E-3</v>
      </c>
      <c r="F35" s="34">
        <f t="shared" ca="1" si="3"/>
        <v>0.98019867330675525</v>
      </c>
      <c r="G35" s="35">
        <f t="shared" ca="1" si="4"/>
        <v>6.9225252920828602E-6</v>
      </c>
      <c r="L35" s="10"/>
    </row>
    <row r="36" spans="2:12" x14ac:dyDescent="0.2">
      <c r="B36" s="25">
        <f t="shared" ca="1" si="0"/>
        <v>0.43999999999999995</v>
      </c>
      <c r="C36" s="30">
        <f t="shared" ca="1" si="1"/>
        <v>0.96399741427101471</v>
      </c>
      <c r="D36" s="31">
        <f t="shared" ca="1" si="2"/>
        <v>3.21868621099064E-3</v>
      </c>
      <c r="E36" s="32">
        <v>2.3756480140929067E-3</v>
      </c>
      <c r="F36" s="34">
        <f t="shared" ca="1" si="3"/>
        <v>0.97824023505121005</v>
      </c>
      <c r="G36" s="35">
        <f t="shared" ca="1" si="4"/>
        <v>7.4800802130475184E-6</v>
      </c>
      <c r="L36" s="10"/>
    </row>
    <row r="37" spans="2:12" x14ac:dyDescent="0.2">
      <c r="B37" s="25">
        <f t="shared" ca="1" si="0"/>
        <v>0.47999999999999993</v>
      </c>
      <c r="C37" s="30">
        <f t="shared" ca="1" si="1"/>
        <v>0.96078943915232251</v>
      </c>
      <c r="D37" s="31">
        <f t="shared" ca="1" si="2"/>
        <v>3.2079751186921968E-3</v>
      </c>
      <c r="E37" s="32">
        <v>2.5769274175048824E-3</v>
      </c>
      <c r="F37" s="34">
        <f t="shared" ca="1" si="3"/>
        <v>0.97628570975790929</v>
      </c>
      <c r="G37" s="35">
        <f t="shared" ca="1" si="4"/>
        <v>8.0706796634137088E-6</v>
      </c>
      <c r="L37" s="10"/>
    </row>
    <row r="38" spans="2:12" x14ac:dyDescent="0.2">
      <c r="B38" s="25">
        <f t="shared" ca="1" si="0"/>
        <v>0.51999999999999991</v>
      </c>
      <c r="C38" s="30">
        <f t="shared" ca="1" si="1"/>
        <v>0.95759213948172783</v>
      </c>
      <c r="D38" s="31">
        <f t="shared" ca="1" si="2"/>
        <v>3.1972996705946777E-3</v>
      </c>
      <c r="E38" s="32">
        <v>2.7629630774855772E-3</v>
      </c>
      <c r="F38" s="34">
        <f t="shared" ca="1" si="3"/>
        <v>0.97433508960874937</v>
      </c>
      <c r="G38" s="35">
        <f t="shared" ca="1" si="4"/>
        <v>8.6072965817542701E-6</v>
      </c>
      <c r="L38" s="10"/>
    </row>
    <row r="39" spans="2:12" x14ac:dyDescent="0.2">
      <c r="B39" s="25">
        <f t="shared" ca="1" si="0"/>
        <v>0.55999999999999994</v>
      </c>
      <c r="C39" s="30">
        <f t="shared" ca="1" si="1"/>
        <v>0.95440547973364587</v>
      </c>
      <c r="D39" s="31">
        <f t="shared" ca="1" si="2"/>
        <v>3.1866597480819658E-3</v>
      </c>
      <c r="E39" s="32">
        <v>2.9414195890670614E-3</v>
      </c>
      <c r="F39" s="34">
        <f t="shared" ca="1" si="3"/>
        <v>0.97238836680124685</v>
      </c>
      <c r="G39" s="35">
        <f t="shared" ca="1" si="4"/>
        <v>9.1144911911733839E-6</v>
      </c>
      <c r="L39" s="10"/>
    </row>
    <row r="40" spans="2:12" x14ac:dyDescent="0.2">
      <c r="B40" s="25">
        <f t="shared" ca="1" si="0"/>
        <v>0.6</v>
      </c>
      <c r="C40" s="30">
        <f t="shared" ca="1" si="1"/>
        <v>0.95122942450071324</v>
      </c>
      <c r="D40" s="31">
        <f t="shared" ca="1" si="2"/>
        <v>3.1760552329326286E-3</v>
      </c>
      <c r="E40" s="32">
        <v>3.1057438662650243E-3</v>
      </c>
      <c r="F40" s="34">
        <f t="shared" ca="1" si="3"/>
        <v>0.97044553354850815</v>
      </c>
      <c r="G40" s="35">
        <f t="shared" ca="1" si="4"/>
        <v>9.5724883860275229E-6</v>
      </c>
      <c r="L40" s="10"/>
    </row>
    <row r="41" spans="2:12" x14ac:dyDescent="0.2">
      <c r="B41" s="25">
        <f t="shared" ca="1" si="0"/>
        <v>0.64</v>
      </c>
      <c r="C41" s="30">
        <f t="shared" ca="1" si="1"/>
        <v>0.94806393849339465</v>
      </c>
      <c r="D41" s="31">
        <f t="shared" ca="1" si="2"/>
        <v>3.1654860073185853E-3</v>
      </c>
      <c r="E41" s="32">
        <v>3.268674127260905E-3</v>
      </c>
      <c r="F41" s="34">
        <f t="shared" ca="1" si="3"/>
        <v>0.9685065820791976</v>
      </c>
      <c r="G41" s="35">
        <f t="shared" ca="1" si="4"/>
        <v>1.0021081637033425E-5</v>
      </c>
      <c r="L41" s="10"/>
    </row>
    <row r="42" spans="2:12" x14ac:dyDescent="0.2">
      <c r="B42" s="25">
        <f t="shared" ca="1" si="0"/>
        <v>0.68</v>
      </c>
      <c r="C42" s="30">
        <f t="shared" ca="1" si="1"/>
        <v>0.94490898653959088</v>
      </c>
      <c r="D42" s="31">
        <f t="shared" ca="1" si="2"/>
        <v>3.1549519538037751E-3</v>
      </c>
      <c r="E42" s="32">
        <v>3.4230178656917054E-3</v>
      </c>
      <c r="F42" s="34">
        <f t="shared" ca="1" si="3"/>
        <v>0.96657150463750663</v>
      </c>
      <c r="G42" s="35">
        <f t="shared" ca="1" si="4"/>
        <v>1.043844730826089E-5</v>
      </c>
      <c r="L42" s="10"/>
    </row>
    <row r="43" spans="2:12" x14ac:dyDescent="0.2">
      <c r="B43" s="25">
        <f t="shared" ca="1" si="0"/>
        <v>0.72000000000000008</v>
      </c>
      <c r="C43" s="30">
        <f t="shared" ca="1" si="1"/>
        <v>0.94176453358424772</v>
      </c>
      <c r="D43" s="31">
        <f t="shared" ca="1" si="2"/>
        <v>3.1444529553431577E-3</v>
      </c>
      <c r="E43" s="32">
        <v>3.5758981490077628E-3</v>
      </c>
      <c r="F43" s="34">
        <f t="shared" ca="1" si="3"/>
        <v>0.96464029348312308</v>
      </c>
      <c r="G43" s="35">
        <f t="shared" ca="1" si="4"/>
        <v>1.0846650352395456E-5</v>
      </c>
      <c r="L43" s="10"/>
    </row>
    <row r="44" spans="2:12" x14ac:dyDescent="0.2">
      <c r="B44" s="25">
        <f t="shared" ca="1" si="0"/>
        <v>0.76000000000000012</v>
      </c>
      <c r="C44" s="30">
        <f t="shared" ca="1" si="1"/>
        <v>0.93863054468896667</v>
      </c>
      <c r="D44" s="31">
        <f t="shared" ca="1" si="2"/>
        <v>3.133988895281048E-3</v>
      </c>
      <c r="E44" s="32">
        <v>3.7310453657907749E-3</v>
      </c>
      <c r="F44" s="34">
        <f t="shared" ca="1" si="3"/>
        <v>0.96271294089119952</v>
      </c>
      <c r="G44" s="35">
        <f t="shared" ca="1" si="4"/>
        <v>1.1257055120769496E-5</v>
      </c>
      <c r="L44" s="10"/>
    </row>
    <row r="45" spans="2:12" x14ac:dyDescent="0.2">
      <c r="B45" s="25">
        <f t="shared" ca="1" si="0"/>
        <v>0.80000000000000016</v>
      </c>
      <c r="C45" s="30">
        <f t="shared" ca="1" si="1"/>
        <v>0.93550698503161667</v>
      </c>
      <c r="D45" s="31">
        <f t="shared" ca="1" si="2"/>
        <v>3.1235596573500057E-3</v>
      </c>
      <c r="E45" s="32">
        <v>3.8837973091841275E-3</v>
      </c>
      <c r="F45" s="34">
        <f t="shared" ca="1" si="3"/>
        <v>0.96078943915232318</v>
      </c>
      <c r="G45" s="35">
        <f t="shared" ca="1" si="4"/>
        <v>1.1655598590152225E-5</v>
      </c>
      <c r="L45" s="10"/>
    </row>
    <row r="46" spans="2:12" x14ac:dyDescent="0.2">
      <c r="B46" s="25">
        <f t="shared" ca="1" si="0"/>
        <v>0.84000000000000019</v>
      </c>
      <c r="C46" s="30">
        <f t="shared" ca="1" si="1"/>
        <v>0.93239381990594716</v>
      </c>
      <c r="D46" s="31">
        <f t="shared" ca="1" si="2"/>
        <v>3.1131651256695037E-3</v>
      </c>
      <c r="E46" s="32">
        <v>4.0263685008335576E-3</v>
      </c>
      <c r="F46" s="34">
        <f t="shared" ca="1" si="3"/>
        <v>0.95886978057248451</v>
      </c>
      <c r="G46" s="35">
        <f t="shared" ca="1" si="4"/>
        <v>1.201919298192474E-5</v>
      </c>
      <c r="L46" s="10"/>
    </row>
    <row r="47" spans="2:12" x14ac:dyDescent="0.2">
      <c r="B47" s="25">
        <f t="shared" ca="1" si="0"/>
        <v>0.88000000000000023</v>
      </c>
      <c r="C47" s="30">
        <f t="shared" ca="1" si="1"/>
        <v>0.92929101472120246</v>
      </c>
      <c r="D47" s="31">
        <f t="shared" ca="1" si="2"/>
        <v>3.1028051847447058E-3</v>
      </c>
      <c r="E47" s="32">
        <v>4.1722284279902388E-3</v>
      </c>
      <c r="F47" s="34">
        <f t="shared" ca="1" si="3"/>
        <v>0.95695395747304668</v>
      </c>
      <c r="G47" s="35">
        <f t="shared" ca="1" si="4"/>
        <v>1.2388354633690792E-5</v>
      </c>
      <c r="L47" s="10"/>
    </row>
    <row r="48" spans="2:12" x14ac:dyDescent="0.2">
      <c r="B48" s="25">
        <f t="shared" ca="1" si="0"/>
        <v>0.92000000000000026</v>
      </c>
      <c r="C48" s="30">
        <f t="shared" ca="1" si="1"/>
        <v>0.92619853500173743</v>
      </c>
      <c r="D48" s="31">
        <f t="shared" ca="1" si="2"/>
        <v>3.0924797194650244E-3</v>
      </c>
      <c r="E48" s="32">
        <v>4.3054030879867188E-3</v>
      </c>
      <c r="F48" s="34">
        <f t="shared" ca="1" si="3"/>
        <v>0.95504196219071458</v>
      </c>
      <c r="G48" s="35">
        <f t="shared" ca="1" si="4"/>
        <v>1.2715783705909508E-5</v>
      </c>
      <c r="L48" s="10"/>
    </row>
    <row r="49" spans="2:12" x14ac:dyDescent="0.2">
      <c r="B49" s="25">
        <f t="shared" ca="1" si="0"/>
        <v>0.9600000000000003</v>
      </c>
      <c r="C49" s="30">
        <f t="shared" ca="1" si="1"/>
        <v>0.92311634638663453</v>
      </c>
      <c r="D49" s="31">
        <f t="shared" ca="1" si="2"/>
        <v>3.0821886151028988E-3</v>
      </c>
      <c r="E49" s="32">
        <v>4.428328912928753E-3</v>
      </c>
      <c r="F49" s="34">
        <f t="shared" ca="1" si="3"/>
        <v>0.95313378707750473</v>
      </c>
      <c r="G49" s="35">
        <f t="shared" ca="1" si="4"/>
        <v>1.3009270598727215E-5</v>
      </c>
      <c r="L49" s="10"/>
    </row>
    <row r="50" spans="2:12" x14ac:dyDescent="0.2">
      <c r="B50" s="25">
        <f t="shared" ca="1" si="0"/>
        <v>1.0000000000000002</v>
      </c>
      <c r="C50" s="30">
        <f t="shared" ca="1" si="1"/>
        <v>0.92004441462932196</v>
      </c>
      <c r="D50" s="31">
        <f t="shared" ca="1" si="2"/>
        <v>3.0719317573125737E-3</v>
      </c>
      <c r="E50" s="32">
        <v>4.5479646902477459E-3</v>
      </c>
      <c r="F50" s="34">
        <f t="shared" ca="1" si="3"/>
        <v>0.95122942450071402</v>
      </c>
      <c r="G50" s="35">
        <f t="shared" ca="1" si="4"/>
        <v>1.328966164034159E-5</v>
      </c>
      <c r="L50" s="10"/>
    </row>
    <row r="51" spans="2:12" x14ac:dyDescent="0.2">
      <c r="B51" s="25">
        <f t="shared" ca="1" si="0"/>
        <v>1.0400000000000003</v>
      </c>
      <c r="C51" s="30">
        <f t="shared" ref="C51:C75" ca="1" si="5">C50*EXP(-(B51-B50)*HazardRate2)</f>
        <v>0.91698270559719297</v>
      </c>
      <c r="D51" s="31">
        <f t="shared" ca="1" si="2"/>
        <v>3.0617090321289897E-3</v>
      </c>
      <c r="E51" s="32">
        <v>4.6612851638449648E-3</v>
      </c>
      <c r="F51" s="34">
        <f t="shared" ca="1" si="3"/>
        <v>0.94932886684288953</v>
      </c>
      <c r="G51" s="35">
        <f t="shared" ca="1" si="4"/>
        <v>1.3548345866994288E-5</v>
      </c>
      <c r="L51" s="10"/>
    </row>
    <row r="52" spans="2:12" x14ac:dyDescent="0.2">
      <c r="B52" s="25">
        <f t="shared" ca="1" si="0"/>
        <v>1.0800000000000003</v>
      </c>
      <c r="C52" s="30">
        <f t="shared" ca="1" si="5"/>
        <v>0.91393118527122685</v>
      </c>
      <c r="D52" s="31">
        <f t="shared" ca="1" si="2"/>
        <v>3.0515203259661172E-3</v>
      </c>
      <c r="E52" s="32">
        <v>4.7721118329429827E-3</v>
      </c>
      <c r="F52" s="34">
        <f t="shared" ca="1" si="3"/>
        <v>0.94743210650179832</v>
      </c>
      <c r="G52" s="35">
        <f t="shared" ca="1" si="4"/>
        <v>1.3796692274123146E-5</v>
      </c>
      <c r="L52" s="10"/>
    </row>
    <row r="53" spans="2:12" x14ac:dyDescent="0.2">
      <c r="B53" s="25">
        <f t="shared" ca="1" si="0"/>
        <v>1.1200000000000003</v>
      </c>
      <c r="C53" s="30">
        <f t="shared" ca="1" si="5"/>
        <v>0.91088981974561078</v>
      </c>
      <c r="D53" s="31">
        <f t="shared" ca="1" si="2"/>
        <v>3.0413655256160688E-3</v>
      </c>
      <c r="E53" s="32">
        <v>4.8754998501392534E-3</v>
      </c>
      <c r="F53" s="34">
        <f t="shared" ca="1" si="3"/>
        <v>0.94553913589039629</v>
      </c>
      <c r="G53" s="35">
        <f t="shared" ca="1" si="4"/>
        <v>1.4020621822818505E-5</v>
      </c>
      <c r="L53" s="10"/>
    </row>
    <row r="54" spans="2:12" x14ac:dyDescent="0.2">
      <c r="B54" s="25">
        <f t="shared" ca="1" si="0"/>
        <v>1.1600000000000004</v>
      </c>
      <c r="C54" s="30">
        <f t="shared" ca="1" si="5"/>
        <v>0.90785857522736313</v>
      </c>
      <c r="D54" s="31">
        <f t="shared" ca="1" si="2"/>
        <v>3.0312445182476555E-3</v>
      </c>
      <c r="E54" s="32">
        <v>4.9854502284419943E-3</v>
      </c>
      <c r="F54" s="34">
        <f t="shared" ca="1" si="3"/>
        <v>0.94364994743679853</v>
      </c>
      <c r="G54" s="35">
        <f t="shared" ca="1" si="4"/>
        <v>1.4260549994229559E-5</v>
      </c>
      <c r="L54" s="10"/>
    </row>
    <row r="55" spans="2:12" x14ac:dyDescent="0.2">
      <c r="B55" s="25">
        <f t="shared" ca="1" si="0"/>
        <v>1.2000000000000004</v>
      </c>
      <c r="C55" s="30">
        <f t="shared" ca="1" si="5"/>
        <v>0.90483741803595819</v>
      </c>
      <c r="D55" s="31">
        <f t="shared" ca="1" si="2"/>
        <v>3.021157191404944E-3</v>
      </c>
      <c r="E55" s="32">
        <v>5.1021919126233205E-3</v>
      </c>
      <c r="F55" s="34">
        <f t="shared" ca="1" si="3"/>
        <v>0.94176453358424872</v>
      </c>
      <c r="G55" s="35">
        <f t="shared" ca="1" si="4"/>
        <v>1.4516851806335534E-5</v>
      </c>
      <c r="L55" s="10"/>
    </row>
    <row r="56" spans="2:12" x14ac:dyDescent="0.2">
      <c r="B56" s="25">
        <f t="shared" ca="1" si="0"/>
        <v>1.2400000000000004</v>
      </c>
      <c r="C56" s="30">
        <f t="shared" ca="1" si="5"/>
        <v>0.90182631460295148</v>
      </c>
      <c r="D56" s="31">
        <f t="shared" ca="1" si="2"/>
        <v>3.011103433006701E-3</v>
      </c>
      <c r="E56" s="32">
        <v>5.202445219772759E-3</v>
      </c>
      <c r="F56" s="34">
        <f t="shared" ca="1" si="3"/>
        <v>0.93988288679108889</v>
      </c>
      <c r="G56" s="35">
        <f t="shared" ca="1" si="4"/>
        <v>1.4723360031403473E-5</v>
      </c>
      <c r="L56" s="10"/>
    </row>
    <row r="57" spans="2:12" x14ac:dyDescent="0.2">
      <c r="B57" s="25">
        <f t="shared" ca="1" si="0"/>
        <v>1.2800000000000005</v>
      </c>
      <c r="C57" s="30">
        <f t="shared" ca="1" si="5"/>
        <v>0.89882523147160731</v>
      </c>
      <c r="D57" s="31">
        <f t="shared" ca="1" si="2"/>
        <v>3.0010831313441733E-3</v>
      </c>
      <c r="E57" s="32">
        <v>5.2981865455731195E-3</v>
      </c>
      <c r="F57" s="34">
        <f t="shared" ca="1" si="3"/>
        <v>0.93800499953072947</v>
      </c>
      <c r="G57" s="35">
        <f t="shared" ca="1" si="4"/>
        <v>1.4914559270008631E-5</v>
      </c>
      <c r="L57" s="10"/>
    </row>
    <row r="58" spans="2:12" x14ac:dyDescent="0.2">
      <c r="B58" s="25">
        <f t="shared" ref="B58:B89" ca="1" si="6">B57+0.04</f>
        <v>1.3200000000000005</v>
      </c>
      <c r="C58" s="30">
        <f t="shared" ca="1" si="5"/>
        <v>0.89583413529652667</v>
      </c>
      <c r="D58" s="31">
        <f t="shared" ref="D58:D89" ca="1" si="7">C57-C58</f>
        <v>2.9910961750806431E-3</v>
      </c>
      <c r="E58" s="32">
        <v>5.38705067928286E-3</v>
      </c>
      <c r="F58" s="34">
        <f t="shared" ref="F58:F89" ca="1" si="8">EXP(-IRate*B58)</f>
        <v>0.93613086429161885</v>
      </c>
      <c r="G58" s="35">
        <f t="shared" ref="G58:G89" ca="1" si="9">D58*E58*F58</f>
        <v>1.5084051374896189E-5</v>
      </c>
      <c r="L58" s="10"/>
    </row>
    <row r="59" spans="2:12" x14ac:dyDescent="0.2">
      <c r="B59" s="25">
        <f t="shared" ca="1" si="6"/>
        <v>1.3600000000000005</v>
      </c>
      <c r="C59" s="30">
        <f t="shared" ca="1" si="5"/>
        <v>0.8928529928432769</v>
      </c>
      <c r="D59" s="31">
        <f t="shared" ca="1" si="7"/>
        <v>2.9811424532497632E-3</v>
      </c>
      <c r="E59" s="32">
        <v>5.4693802846452104E-3</v>
      </c>
      <c r="F59" s="34">
        <f t="shared" ca="1" si="8"/>
        <v>0.93426047357721353</v>
      </c>
      <c r="G59" s="35">
        <f t="shared" ca="1" si="9"/>
        <v>1.5233118665529361E-5</v>
      </c>
      <c r="L59" s="10"/>
    </row>
    <row r="60" spans="2:12" x14ac:dyDescent="0.2">
      <c r="B60" s="25">
        <f t="shared" ca="1" si="6"/>
        <v>1.4000000000000006</v>
      </c>
      <c r="C60" s="30">
        <f t="shared" ca="1" si="5"/>
        <v>0.88988177098802224</v>
      </c>
      <c r="D60" s="31">
        <f t="shared" ca="1" si="7"/>
        <v>2.9712218552546688E-3</v>
      </c>
      <c r="E60" s="32">
        <v>5.5491490746411559E-3</v>
      </c>
      <c r="F60" s="34">
        <f t="shared" ca="1" si="8"/>
        <v>0.93239381990594816</v>
      </c>
      <c r="G60" s="35">
        <f t="shared" ca="1" si="9"/>
        <v>1.537307900939166E-5</v>
      </c>
      <c r="L60" s="10"/>
    </row>
    <row r="61" spans="2:12" x14ac:dyDescent="0.2">
      <c r="B61" s="25">
        <f t="shared" ca="1" si="6"/>
        <v>1.4400000000000006</v>
      </c>
      <c r="C61" s="30">
        <f t="shared" ca="1" si="5"/>
        <v>0.88692043671715592</v>
      </c>
      <c r="D61" s="31">
        <f t="shared" ca="1" si="7"/>
        <v>2.9613342708663115E-3</v>
      </c>
      <c r="E61" s="32">
        <v>5.6104004493978607E-3</v>
      </c>
      <c r="F61" s="34">
        <f t="shared" ca="1" si="8"/>
        <v>0.93053089581120574</v>
      </c>
      <c r="G61" s="35">
        <f t="shared" ca="1" si="9"/>
        <v>1.5460092592345657E-5</v>
      </c>
      <c r="L61" s="10"/>
    </row>
    <row r="62" spans="2:12" x14ac:dyDescent="0.2">
      <c r="B62" s="25">
        <f t="shared" ca="1" si="6"/>
        <v>1.4800000000000006</v>
      </c>
      <c r="C62" s="30">
        <f t="shared" ca="1" si="5"/>
        <v>0.88396895712693335</v>
      </c>
      <c r="D62" s="31">
        <f t="shared" ca="1" si="7"/>
        <v>2.9514795902225721E-3</v>
      </c>
      <c r="E62" s="32">
        <v>5.6661955493524617E-3</v>
      </c>
      <c r="F62" s="34">
        <f t="shared" ca="1" si="8"/>
        <v>0.92867169384128712</v>
      </c>
      <c r="G62" s="35">
        <f t="shared" ca="1" si="9"/>
        <v>1.5530790140592656E-5</v>
      </c>
      <c r="L62" s="10"/>
    </row>
    <row r="63" spans="2:12" x14ac:dyDescent="0.2">
      <c r="B63" s="25">
        <f t="shared" ca="1" si="6"/>
        <v>1.5200000000000007</v>
      </c>
      <c r="C63" s="30">
        <f t="shared" ca="1" si="5"/>
        <v>0.88102729942310654</v>
      </c>
      <c r="D63" s="31">
        <f t="shared" ca="1" si="7"/>
        <v>2.9416577038268166E-3</v>
      </c>
      <c r="E63" s="32">
        <v>5.7239820072945468E-3</v>
      </c>
      <c r="F63" s="34">
        <f t="shared" ca="1" si="8"/>
        <v>0.92681620655938224</v>
      </c>
      <c r="G63" s="35">
        <f t="shared" ca="1" si="9"/>
        <v>1.5605727364061062E-5</v>
      </c>
    </row>
    <row r="64" spans="2:12" x14ac:dyDescent="0.2">
      <c r="B64" s="25">
        <f t="shared" ca="1" si="6"/>
        <v>1.5600000000000007</v>
      </c>
      <c r="C64" s="30">
        <f t="shared" ca="1" si="5"/>
        <v>0.87809543092055964</v>
      </c>
      <c r="D64" s="31">
        <f t="shared" ca="1" si="7"/>
        <v>2.9318685025468971E-3</v>
      </c>
      <c r="E64" s="32">
        <v>5.7918257522192309E-3</v>
      </c>
      <c r="F64" s="34">
        <f t="shared" ca="1" si="8"/>
        <v>0.92496442654353928</v>
      </c>
      <c r="G64" s="35">
        <f t="shared" ca="1" si="9"/>
        <v>1.5706702064740888E-5</v>
      </c>
    </row>
    <row r="65" spans="2:7" x14ac:dyDescent="0.2">
      <c r="B65" s="25">
        <f t="shared" ca="1" si="6"/>
        <v>1.6000000000000008</v>
      </c>
      <c r="C65" s="30">
        <f t="shared" ca="1" si="5"/>
        <v>0.87517331904294571</v>
      </c>
      <c r="D65" s="31">
        <f t="shared" ca="1" si="7"/>
        <v>2.922111877613931E-3</v>
      </c>
      <c r="E65" s="32">
        <v>5.8515507562317956E-3</v>
      </c>
      <c r="F65" s="34">
        <f t="shared" ca="1" si="8"/>
        <v>0.92311634638663576</v>
      </c>
      <c r="G65" s="35">
        <f t="shared" ca="1" si="9"/>
        <v>1.5784261141365575E-5</v>
      </c>
    </row>
    <row r="66" spans="2:7" x14ac:dyDescent="0.2">
      <c r="B66" s="25">
        <f t="shared" ca="1" si="6"/>
        <v>1.6400000000000008</v>
      </c>
      <c r="C66" s="30">
        <f t="shared" ca="1" si="5"/>
        <v>0.87226093132232496</v>
      </c>
      <c r="D66" s="31">
        <f t="shared" ca="1" si="7"/>
        <v>2.912387720620746E-3</v>
      </c>
      <c r="E66" s="32">
        <v>5.9050996267039357E-3</v>
      </c>
      <c r="F66" s="34">
        <f t="shared" ca="1" si="8"/>
        <v>0.92127195869634859</v>
      </c>
      <c r="G66" s="35">
        <f t="shared" ca="1" si="9"/>
        <v>1.5843979539393053E-5</v>
      </c>
    </row>
    <row r="67" spans="2:7" x14ac:dyDescent="0.2">
      <c r="B67" s="25">
        <f t="shared" ca="1" si="6"/>
        <v>1.6800000000000008</v>
      </c>
      <c r="C67" s="30">
        <f t="shared" ca="1" si="5"/>
        <v>0.86935823539880397</v>
      </c>
      <c r="D67" s="31">
        <f t="shared" ca="1" si="7"/>
        <v>2.9026959235209926E-3</v>
      </c>
      <c r="E67" s="32">
        <v>5.9638143717064959E-3</v>
      </c>
      <c r="F67" s="34">
        <f t="shared" ca="1" si="8"/>
        <v>0.91943125609512466</v>
      </c>
      <c r="G67" s="35">
        <f t="shared" ca="1" si="9"/>
        <v>1.5916402886986151E-5</v>
      </c>
    </row>
    <row r="68" spans="2:7" x14ac:dyDescent="0.2">
      <c r="B68" s="25">
        <f t="shared" ca="1" si="6"/>
        <v>1.7200000000000009</v>
      </c>
      <c r="C68" s="30">
        <f t="shared" ca="1" si="5"/>
        <v>0.86646519902017582</v>
      </c>
      <c r="D68" s="31">
        <f t="shared" ca="1" si="7"/>
        <v>2.8930363786281443E-3</v>
      </c>
      <c r="E68" s="32">
        <v>6.0078165485929489E-3</v>
      </c>
      <c r="F68" s="34">
        <f t="shared" ca="1" si="8"/>
        <v>0.91759423122015094</v>
      </c>
      <c r="G68" s="35">
        <f t="shared" ca="1" si="9"/>
        <v>1.5948551022119978E-5</v>
      </c>
    </row>
    <row r="69" spans="2:7" x14ac:dyDescent="0.2">
      <c r="B69" s="25">
        <f t="shared" ca="1" si="6"/>
        <v>1.7600000000000009</v>
      </c>
      <c r="C69" s="30">
        <f t="shared" ca="1" si="5"/>
        <v>0.86358179004156221</v>
      </c>
      <c r="D69" s="31">
        <f t="shared" ca="1" si="7"/>
        <v>2.8834089786136108E-3</v>
      </c>
      <c r="E69" s="32">
        <v>6.0551512616963251E-3</v>
      </c>
      <c r="F69" s="34">
        <f t="shared" ca="1" si="8"/>
        <v>0.91576087672332562</v>
      </c>
      <c r="G69" s="35">
        <f t="shared" ca="1" si="9"/>
        <v>1.5988706436119895E-5</v>
      </c>
    </row>
    <row r="70" spans="2:7" x14ac:dyDescent="0.2">
      <c r="B70" s="25">
        <f t="shared" ca="1" si="6"/>
        <v>1.8000000000000009</v>
      </c>
      <c r="C70" s="30">
        <f t="shared" ca="1" si="5"/>
        <v>0.86070797642505581</v>
      </c>
      <c r="D70" s="31">
        <f t="shared" ca="1" si="7"/>
        <v>2.8738136165064043E-3</v>
      </c>
      <c r="E70" s="32">
        <v>6.1023050704682681E-3</v>
      </c>
      <c r="F70" s="34">
        <f t="shared" ca="1" si="8"/>
        <v>0.91393118527122819</v>
      </c>
      <c r="G70" s="35">
        <f t="shared" ca="1" si="9"/>
        <v>1.6027508290729054E-5</v>
      </c>
    </row>
    <row r="71" spans="2:7" x14ac:dyDescent="0.2">
      <c r="B71" s="25">
        <f t="shared" ca="1" si="6"/>
        <v>1.840000000000001</v>
      </c>
      <c r="C71" s="30">
        <f t="shared" ca="1" si="5"/>
        <v>0.85784372623936478</v>
      </c>
      <c r="D71" s="31">
        <f t="shared" ca="1" si="7"/>
        <v>2.8642501856910307E-3</v>
      </c>
      <c r="E71" s="32">
        <v>6.1528139314954242E-3</v>
      </c>
      <c r="F71" s="34">
        <f t="shared" ca="1" si="8"/>
        <v>0.91210514954509037</v>
      </c>
      <c r="G71" s="35">
        <f t="shared" ca="1" si="9"/>
        <v>1.6074210053876628E-5</v>
      </c>
    </row>
    <row r="72" spans="2:7" x14ac:dyDescent="0.2">
      <c r="B72" s="25">
        <f t="shared" ca="1" si="6"/>
        <v>1.880000000000001</v>
      </c>
      <c r="C72" s="30">
        <f t="shared" ca="1" si="5"/>
        <v>0.85498900765945751</v>
      </c>
      <c r="D72" s="31">
        <f t="shared" ca="1" si="7"/>
        <v>2.8547185799072672E-3</v>
      </c>
      <c r="E72" s="32">
        <v>6.1923704593485045E-3</v>
      </c>
      <c r="F72" s="34">
        <f t="shared" ca="1" si="8"/>
        <v>0.91028276224076687</v>
      </c>
      <c r="G72" s="35">
        <f t="shared" ca="1" si="9"/>
        <v>1.6091500776056899E-5</v>
      </c>
    </row>
    <row r="73" spans="2:7" x14ac:dyDescent="0.2">
      <c r="B73" s="25">
        <f t="shared" ca="1" si="6"/>
        <v>1.920000000000001</v>
      </c>
      <c r="C73" s="30">
        <f t="shared" ca="1" si="5"/>
        <v>0.85214378896620924</v>
      </c>
      <c r="D73" s="31">
        <f t="shared" ca="1" si="7"/>
        <v>2.8452186932482748E-3</v>
      </c>
      <c r="E73" s="32">
        <v>6.2264275796471338E-3</v>
      </c>
      <c r="F73" s="34">
        <f t="shared" ca="1" si="8"/>
        <v>0.90846401606870608</v>
      </c>
      <c r="G73" s="35">
        <f t="shared" ca="1" si="9"/>
        <v>1.609393801172964E-5</v>
      </c>
    </row>
    <row r="74" spans="2:7" x14ac:dyDescent="0.2">
      <c r="B74" s="25">
        <f t="shared" ca="1" si="6"/>
        <v>1.9600000000000011</v>
      </c>
      <c r="C74" s="30">
        <f t="shared" ca="1" si="5"/>
        <v>0.84930803854604975</v>
      </c>
      <c r="D74" s="31">
        <f t="shared" ca="1" si="7"/>
        <v>2.8357504201594885E-3</v>
      </c>
      <c r="E74" s="32">
        <v>6.2585351911700702E-3</v>
      </c>
      <c r="F74" s="34">
        <f t="shared" ca="1" si="8"/>
        <v>0.90664890375392082</v>
      </c>
      <c r="G74" s="35">
        <f t="shared" ca="1" si="9"/>
        <v>1.609088179362052E-5</v>
      </c>
    </row>
    <row r="75" spans="2:7" x14ac:dyDescent="0.2">
      <c r="B75" s="25">
        <f t="shared" ca="1" si="6"/>
        <v>2.0000000000000009</v>
      </c>
      <c r="C75" s="30">
        <f t="shared" ca="1" si="5"/>
        <v>0.84648172489061202</v>
      </c>
      <c r="D75" s="31">
        <f t="shared" ca="1" si="7"/>
        <v>2.8263136554377288E-3</v>
      </c>
      <c r="E75" s="32">
        <v>6.3053691503537918E-3</v>
      </c>
      <c r="F75" s="34">
        <f t="shared" ca="1" si="8"/>
        <v>0.90483741803595952</v>
      </c>
      <c r="G75" s="35">
        <f t="shared" ca="1" si="9"/>
        <v>1.6125063228456114E-5</v>
      </c>
    </row>
    <row r="76" spans="2:7" x14ac:dyDescent="0.2">
      <c r="B76" s="25">
        <f t="shared" ca="1" si="6"/>
        <v>2.0400000000000009</v>
      </c>
      <c r="C76" s="30">
        <f t="shared" ref="C76:C100" ca="1" si="10">C75*EXP(-(B76-B75)*HazardRate3)</f>
        <v>0.84366481659638159</v>
      </c>
      <c r="D76" s="31">
        <f t="shared" ca="1" si="7"/>
        <v>2.8169082942304247E-3</v>
      </c>
      <c r="E76" s="32">
        <v>6.3589361099242146E-3</v>
      </c>
      <c r="F76" s="34">
        <f t="shared" ca="1" si="8"/>
        <v>0.90302955166887677</v>
      </c>
      <c r="G76" s="35">
        <f t="shared" ca="1" si="9"/>
        <v>1.6175552848532762E-5</v>
      </c>
    </row>
    <row r="77" spans="2:7" x14ac:dyDescent="0.2">
      <c r="B77" s="25">
        <f t="shared" ca="1" si="6"/>
        <v>2.080000000000001</v>
      </c>
      <c r="C77" s="30">
        <f t="shared" ca="1" si="10"/>
        <v>0.84085728236434853</v>
      </c>
      <c r="D77" s="31">
        <f t="shared" ca="1" si="7"/>
        <v>2.8075342320330599E-3</v>
      </c>
      <c r="E77" s="32">
        <v>6.4038242695059928E-3</v>
      </c>
      <c r="F77" s="34">
        <f t="shared" ca="1" si="8"/>
        <v>0.90122529742120472</v>
      </c>
      <c r="G77" s="35">
        <f t="shared" ca="1" si="9"/>
        <v>1.6203089835548059E-5</v>
      </c>
    </row>
    <row r="78" spans="2:7" x14ac:dyDescent="0.2">
      <c r="B78" s="25">
        <f t="shared" ca="1" si="6"/>
        <v>2.120000000000001</v>
      </c>
      <c r="C78" s="30">
        <f t="shared" ca="1" si="10"/>
        <v>0.83805909099965925</v>
      </c>
      <c r="D78" s="31">
        <f t="shared" ca="1" si="7"/>
        <v>2.7981913646892842E-3</v>
      </c>
      <c r="E78" s="32">
        <v>6.4483058802390116E-3</v>
      </c>
      <c r="F78" s="34">
        <f t="shared" ca="1" si="8"/>
        <v>0.89942464807592404</v>
      </c>
      <c r="G78" s="35">
        <f t="shared" ca="1" si="9"/>
        <v>1.6228853031436054E-5</v>
      </c>
    </row>
    <row r="79" spans="2:7" x14ac:dyDescent="0.2">
      <c r="B79" s="25">
        <f t="shared" ca="1" si="6"/>
        <v>2.160000000000001</v>
      </c>
      <c r="C79" s="30">
        <f t="shared" ca="1" si="10"/>
        <v>0.83527021141126978</v>
      </c>
      <c r="D79" s="31">
        <f t="shared" ca="1" si="7"/>
        <v>2.7888795883894701E-3</v>
      </c>
      <c r="E79" s="32">
        <v>6.4879268688109275E-3</v>
      </c>
      <c r="F79" s="34">
        <f t="shared" ca="1" si="8"/>
        <v>0.89762759643043488</v>
      </c>
      <c r="G79" s="35">
        <f t="shared" ca="1" si="9"/>
        <v>1.6241715752598652E-5</v>
      </c>
    </row>
    <row r="80" spans="2:7" x14ac:dyDescent="0.2">
      <c r="B80" s="25">
        <f t="shared" ca="1" si="6"/>
        <v>2.2000000000000011</v>
      </c>
      <c r="C80" s="30">
        <f t="shared" ca="1" si="10"/>
        <v>0.8324906126116004</v>
      </c>
      <c r="D80" s="31">
        <f t="shared" ca="1" si="7"/>
        <v>2.7795987996693805E-3</v>
      </c>
      <c r="E80" s="32">
        <v>6.5374556090688277E-3</v>
      </c>
      <c r="F80" s="34">
        <f t="shared" ca="1" si="8"/>
        <v>0.89583413529652822</v>
      </c>
      <c r="G80" s="35">
        <f t="shared" ca="1" si="9"/>
        <v>1.6278653361334747E-5</v>
      </c>
    </row>
    <row r="81" spans="2:7" x14ac:dyDescent="0.2">
      <c r="B81" s="25">
        <f t="shared" ca="1" si="6"/>
        <v>2.2400000000000011</v>
      </c>
      <c r="C81" s="30">
        <f t="shared" ca="1" si="10"/>
        <v>0.82972026371619145</v>
      </c>
      <c r="D81" s="31">
        <f t="shared" ca="1" si="7"/>
        <v>2.7703488954089472E-3</v>
      </c>
      <c r="E81" s="32">
        <v>6.5799453472784441E-3</v>
      </c>
      <c r="F81" s="34">
        <f t="shared" ca="1" si="8"/>
        <v>0.89404425750035721</v>
      </c>
      <c r="G81" s="35">
        <f t="shared" ca="1" si="9"/>
        <v>1.629730418492603E-5</v>
      </c>
    </row>
    <row r="82" spans="2:7" x14ac:dyDescent="0.2">
      <c r="B82" s="25">
        <f t="shared" ca="1" si="6"/>
        <v>2.2800000000000011</v>
      </c>
      <c r="C82" s="30">
        <f t="shared" ca="1" si="10"/>
        <v>0.82695913394335996</v>
      </c>
      <c r="D82" s="31">
        <f t="shared" ca="1" si="7"/>
        <v>2.7611297728314943E-3</v>
      </c>
      <c r="E82" s="32">
        <v>6.6279833710150959E-3</v>
      </c>
      <c r="F82" s="34">
        <f t="shared" ca="1" si="8"/>
        <v>0.8922579558824083</v>
      </c>
      <c r="G82" s="35">
        <f t="shared" ca="1" si="9"/>
        <v>1.6328964998780164E-5</v>
      </c>
    </row>
    <row r="83" spans="2:7" x14ac:dyDescent="0.2">
      <c r="B83" s="25">
        <f t="shared" ca="1" si="6"/>
        <v>2.3200000000000012</v>
      </c>
      <c r="C83" s="30">
        <f t="shared" ca="1" si="10"/>
        <v>0.82420719261385789</v>
      </c>
      <c r="D83" s="31">
        <f t="shared" ca="1" si="7"/>
        <v>2.7519413295020723E-3</v>
      </c>
      <c r="E83" s="32">
        <v>6.6707137152862278E-3</v>
      </c>
      <c r="F83" s="34">
        <f t="shared" ca="1" si="8"/>
        <v>0.89047522329747253</v>
      </c>
      <c r="G83" s="35">
        <f t="shared" ca="1" si="9"/>
        <v>1.6346821235861316E-5</v>
      </c>
    </row>
    <row r="84" spans="2:7" x14ac:dyDescent="0.2">
      <c r="B84" s="25">
        <f t="shared" ca="1" si="6"/>
        <v>2.3600000000000012</v>
      </c>
      <c r="C84" s="30">
        <f t="shared" ca="1" si="10"/>
        <v>0.82146440915053109</v>
      </c>
      <c r="D84" s="31">
        <f t="shared" ca="1" si="7"/>
        <v>2.7427834633267922E-3</v>
      </c>
      <c r="E84" s="32">
        <v>6.7115997326657531E-3</v>
      </c>
      <c r="F84" s="34">
        <f t="shared" ca="1" si="8"/>
        <v>0.88869605261461726</v>
      </c>
      <c r="G84" s="35">
        <f t="shared" ca="1" si="9"/>
        <v>1.6359529966217792E-5</v>
      </c>
    </row>
    <row r="85" spans="2:7" x14ac:dyDescent="0.2">
      <c r="B85" s="25">
        <f t="shared" ca="1" si="6"/>
        <v>2.4000000000000012</v>
      </c>
      <c r="C85" s="30">
        <f t="shared" ca="1" si="10"/>
        <v>0.81873075307797938</v>
      </c>
      <c r="D85" s="31">
        <f t="shared" ca="1" si="7"/>
        <v>2.7336560725517156E-3</v>
      </c>
      <c r="E85" s="32">
        <v>6.7446747165074757E-3</v>
      </c>
      <c r="F85" s="34">
        <f t="shared" ca="1" si="8"/>
        <v>0.88692043671715748</v>
      </c>
      <c r="G85" s="35">
        <f t="shared" ca="1" si="9"/>
        <v>1.6352702865945586E-5</v>
      </c>
    </row>
    <row r="86" spans="2:7" x14ac:dyDescent="0.2">
      <c r="B86" s="25">
        <f t="shared" ca="1" si="6"/>
        <v>2.4400000000000013</v>
      </c>
      <c r="C86" s="30">
        <f t="shared" ca="1" si="10"/>
        <v>0.81600619402221841</v>
      </c>
      <c r="D86" s="31">
        <f t="shared" ca="1" si="7"/>
        <v>2.7245590557609667E-3</v>
      </c>
      <c r="E86" s="32">
        <v>6.7791325036642477E-3</v>
      </c>
      <c r="F86" s="34">
        <f t="shared" ca="1" si="8"/>
        <v>0.88514836850262701</v>
      </c>
      <c r="G86" s="35">
        <f t="shared" ca="1" si="9"/>
        <v>1.6348820352991707E-5</v>
      </c>
    </row>
    <row r="87" spans="2:7" x14ac:dyDescent="0.2">
      <c r="B87" s="25">
        <f t="shared" ca="1" si="6"/>
        <v>2.4800000000000013</v>
      </c>
      <c r="C87" s="30">
        <f t="shared" ca="1" si="10"/>
        <v>0.81329070171034168</v>
      </c>
      <c r="D87" s="31">
        <f t="shared" ca="1" si="7"/>
        <v>2.7154923118767327E-3</v>
      </c>
      <c r="E87" s="32">
        <v>6.8209200376155004E-3</v>
      </c>
      <c r="F87" s="34">
        <f t="shared" ca="1" si="8"/>
        <v>0.88337984088275079</v>
      </c>
      <c r="G87" s="35">
        <f t="shared" ca="1" si="9"/>
        <v>1.6362099151244442E-5</v>
      </c>
    </row>
    <row r="88" spans="2:7" x14ac:dyDescent="0.2">
      <c r="B88" s="25">
        <f t="shared" ca="1" si="6"/>
        <v>2.5200000000000014</v>
      </c>
      <c r="C88" s="30">
        <f t="shared" ca="1" si="10"/>
        <v>0.81058424597018452</v>
      </c>
      <c r="D88" s="31">
        <f t="shared" ca="1" si="7"/>
        <v>2.7064557401571543E-3</v>
      </c>
      <c r="E88" s="32">
        <v>6.8722216497601411E-3</v>
      </c>
      <c r="F88" s="34">
        <f t="shared" ca="1" si="8"/>
        <v>0.88161484678341595</v>
      </c>
      <c r="G88" s="35">
        <f t="shared" ca="1" si="9"/>
        <v>1.639747520652613E-5</v>
      </c>
    </row>
    <row r="89" spans="2:7" x14ac:dyDescent="0.2">
      <c r="B89" s="25">
        <f t="shared" ca="1" si="6"/>
        <v>2.5600000000000014</v>
      </c>
      <c r="C89" s="30">
        <f t="shared" ca="1" si="10"/>
        <v>0.80788679672998853</v>
      </c>
      <c r="D89" s="31">
        <f t="shared" ca="1" si="7"/>
        <v>2.6974492401959926E-3</v>
      </c>
      <c r="E89" s="32">
        <v>6.9239453065427781E-3</v>
      </c>
      <c r="F89" s="34">
        <f t="shared" ca="1" si="8"/>
        <v>0.87985337914464379</v>
      </c>
      <c r="G89" s="35">
        <f t="shared" ca="1" si="9"/>
        <v>1.643301364914051E-5</v>
      </c>
    </row>
    <row r="90" spans="2:7" x14ac:dyDescent="0.2">
      <c r="B90" s="25">
        <f t="shared" ref="B90:B121" ca="1" si="11">B89+0.04</f>
        <v>2.6000000000000014</v>
      </c>
      <c r="C90" s="30">
        <f t="shared" ca="1" si="10"/>
        <v>0.8051983240180679</v>
      </c>
      <c r="D90" s="31">
        <f t="shared" ref="D90:D121" ca="1" si="12">C89-C90</f>
        <v>2.6884727119206309E-3</v>
      </c>
      <c r="E90" s="32">
        <v>6.9695500586111521E-3</v>
      </c>
      <c r="F90" s="34">
        <f t="shared" ref="F90:F121" ca="1" si="13">EXP(-IRate*B90)</f>
        <v>0.87809543092056119</v>
      </c>
      <c r="G90" s="35">
        <f t="shared" ref="G90:G121" ca="1" si="14">D90*E90*F90</f>
        <v>1.6453264970653461E-5</v>
      </c>
    </row>
    <row r="91" spans="2:7" x14ac:dyDescent="0.2">
      <c r="B91" s="25">
        <f t="shared" ca="1" si="11"/>
        <v>2.6400000000000015</v>
      </c>
      <c r="C91" s="30">
        <f t="shared" ca="1" si="10"/>
        <v>0.80251879796247583</v>
      </c>
      <c r="D91" s="31">
        <f t="shared" ca="1" si="12"/>
        <v>2.6795260555920741E-3</v>
      </c>
      <c r="E91" s="32">
        <v>7.0070934875324734E-3</v>
      </c>
      <c r="F91" s="34">
        <f t="shared" ca="1" si="13"/>
        <v>0.87634099507937324</v>
      </c>
      <c r="G91" s="35">
        <f t="shared" ca="1" si="14"/>
        <v>1.6453906484416521E-5</v>
      </c>
    </row>
    <row r="92" spans="2:7" x14ac:dyDescent="0.2">
      <c r="B92" s="25">
        <f t="shared" ca="1" si="11"/>
        <v>2.6800000000000015</v>
      </c>
      <c r="C92" s="30">
        <f t="shared" ca="1" si="10"/>
        <v>0.79984818879067299</v>
      </c>
      <c r="D92" s="31">
        <f t="shared" ca="1" si="12"/>
        <v>2.6706091718028402E-3</v>
      </c>
      <c r="E92" s="32">
        <v>7.0390567548105996E-3</v>
      </c>
      <c r="F92" s="34">
        <f t="shared" ca="1" si="13"/>
        <v>0.87459006460333399</v>
      </c>
      <c r="G92" s="35">
        <f t="shared" ca="1" si="14"/>
        <v>1.6441042139901053E-5</v>
      </c>
    </row>
    <row r="93" spans="2:7" x14ac:dyDescent="0.2">
      <c r="B93" s="25">
        <f t="shared" ca="1" si="11"/>
        <v>2.7200000000000015</v>
      </c>
      <c r="C93" s="30">
        <f t="shared" ca="1" si="10"/>
        <v>0.79718646682919669</v>
      </c>
      <c r="D93" s="31">
        <f t="shared" ca="1" si="12"/>
        <v>2.6617219614762933E-3</v>
      </c>
      <c r="E93" s="32">
        <v>7.0557372140665122E-3</v>
      </c>
      <c r="F93" s="34">
        <f t="shared" ca="1" si="13"/>
        <v>0.87284263248871929</v>
      </c>
      <c r="G93" s="35">
        <f t="shared" ca="1" si="14"/>
        <v>1.639234311206419E-5</v>
      </c>
    </row>
    <row r="94" spans="2:7" x14ac:dyDescent="0.2">
      <c r="B94" s="25">
        <f t="shared" ca="1" si="11"/>
        <v>2.7600000000000016</v>
      </c>
      <c r="C94" s="30">
        <f t="shared" ca="1" si="10"/>
        <v>0.79453360250333116</v>
      </c>
      <c r="D94" s="31">
        <f t="shared" ca="1" si="12"/>
        <v>2.6528643258655338E-3</v>
      </c>
      <c r="E94" s="32">
        <v>7.0678117550709747E-3</v>
      </c>
      <c r="F94" s="34">
        <f t="shared" ca="1" si="13"/>
        <v>0.87109869174579824</v>
      </c>
      <c r="G94" s="35">
        <f t="shared" ca="1" si="14"/>
        <v>1.6333053140794399E-5</v>
      </c>
    </row>
    <row r="95" spans="2:7" x14ac:dyDescent="0.2">
      <c r="B95" s="25">
        <f t="shared" ca="1" si="11"/>
        <v>2.8000000000000016</v>
      </c>
      <c r="C95" s="30">
        <f t="shared" ca="1" si="10"/>
        <v>0.79188956633677876</v>
      </c>
      <c r="D95" s="31">
        <f t="shared" ca="1" si="12"/>
        <v>2.6440361665523993E-3</v>
      </c>
      <c r="E95" s="32">
        <v>7.0791105930870808E-3</v>
      </c>
      <c r="F95" s="34">
        <f t="shared" ca="1" si="13"/>
        <v>0.86935823539880575</v>
      </c>
      <c r="G95" s="35">
        <f t="shared" ca="1" si="14"/>
        <v>1.6272147078149403E-5</v>
      </c>
    </row>
    <row r="96" spans="2:7" x14ac:dyDescent="0.2">
      <c r="B96" s="25">
        <f t="shared" ca="1" si="11"/>
        <v>2.8400000000000016</v>
      </c>
      <c r="C96" s="30">
        <f t="shared" ca="1" si="10"/>
        <v>0.78925432895133274</v>
      </c>
      <c r="D96" s="31">
        <f t="shared" ca="1" si="12"/>
        <v>2.6352373854460209E-3</v>
      </c>
      <c r="E96" s="32">
        <v>7.0828259461184918E-3</v>
      </c>
      <c r="F96" s="34">
        <f t="shared" ca="1" si="13"/>
        <v>0.86762125648591393</v>
      </c>
      <c r="G96" s="35">
        <f t="shared" ca="1" si="14"/>
        <v>1.619408804742869E-5</v>
      </c>
    </row>
    <row r="97" spans="2:7" x14ac:dyDescent="0.2">
      <c r="B97" s="25">
        <f t="shared" ca="1" si="11"/>
        <v>2.8800000000000017</v>
      </c>
      <c r="C97" s="30">
        <f t="shared" ca="1" si="10"/>
        <v>0.78662786106655047</v>
      </c>
      <c r="D97" s="31">
        <f t="shared" ca="1" si="12"/>
        <v>2.6264678847822687E-3</v>
      </c>
      <c r="E97" s="32">
        <v>7.0654375948189362E-3</v>
      </c>
      <c r="F97" s="34">
        <f t="shared" ca="1" si="13"/>
        <v>0.86588774805920488</v>
      </c>
      <c r="G97" s="35">
        <f t="shared" ca="1" si="14"/>
        <v>1.6068404437937492E-5</v>
      </c>
    </row>
    <row r="98" spans="2:7" x14ac:dyDescent="0.2">
      <c r="B98" s="25">
        <f t="shared" ca="1" si="11"/>
        <v>2.9200000000000017</v>
      </c>
      <c r="C98" s="30">
        <f t="shared" ca="1" si="10"/>
        <v>0.7840101334994285</v>
      </c>
      <c r="D98" s="31">
        <f t="shared" ca="1" si="12"/>
        <v>2.6177275671219746E-3</v>
      </c>
      <c r="E98" s="32">
        <v>7.0497309107729143E-3</v>
      </c>
      <c r="F98" s="34">
        <f t="shared" ca="1" si="13"/>
        <v>0.86415770318464269</v>
      </c>
      <c r="G98" s="35">
        <f t="shared" ca="1" si="14"/>
        <v>1.5947403851205991E-5</v>
      </c>
    </row>
    <row r="99" spans="2:7" x14ac:dyDescent="0.2">
      <c r="B99" s="25">
        <f t="shared" ca="1" si="11"/>
        <v>2.9600000000000017</v>
      </c>
      <c r="C99" s="30">
        <f t="shared" ca="1" si="10"/>
        <v>0.78140111716407801</v>
      </c>
      <c r="D99" s="31">
        <f t="shared" ca="1" si="12"/>
        <v>2.6090163353504892E-3</v>
      </c>
      <c r="E99" s="32">
        <v>7.0301285483130825E-3</v>
      </c>
      <c r="F99" s="34">
        <f t="shared" ca="1" si="13"/>
        <v>0.86243111494204538</v>
      </c>
      <c r="G99" s="35">
        <f t="shared" ca="1" si="14"/>
        <v>1.5818470221154796E-5</v>
      </c>
    </row>
    <row r="100" spans="2:7" x14ac:dyDescent="0.2">
      <c r="B100" s="25">
        <f t="shared" ca="1" si="11"/>
        <v>3.0000000000000018</v>
      </c>
      <c r="C100" s="30">
        <f t="shared" ca="1" si="10"/>
        <v>0.77880078307140177</v>
      </c>
      <c r="D100" s="31">
        <f t="shared" ca="1" si="12"/>
        <v>2.6003340926762375E-3</v>
      </c>
      <c r="E100" s="32">
        <v>6.998402339924624E-3</v>
      </c>
      <c r="F100" s="34">
        <f t="shared" ca="1" si="13"/>
        <v>0.8607079764250577</v>
      </c>
      <c r="G100" s="35">
        <f t="shared" ca="1" si="14"/>
        <v>1.5663322296334781E-5</v>
      </c>
    </row>
    <row r="101" spans="2:7" x14ac:dyDescent="0.2">
      <c r="B101" s="25">
        <f t="shared" ca="1" si="11"/>
        <v>3.0400000000000018</v>
      </c>
      <c r="C101" s="30">
        <f t="shared" ref="C101:C125" ca="1" si="15">C100*EXP(-(B101-B100)*HazardRate4)</f>
        <v>0.77620910232877205</v>
      </c>
      <c r="D101" s="31">
        <f t="shared" ca="1" si="12"/>
        <v>2.5916807426297206E-3</v>
      </c>
      <c r="E101" s="32">
        <v>6.9602851422932866E-3</v>
      </c>
      <c r="F101" s="34">
        <f t="shared" ca="1" si="13"/>
        <v>0.85898828074112343</v>
      </c>
      <c r="G101" s="35">
        <f t="shared" ca="1" si="14"/>
        <v>1.5495149552417481E-5</v>
      </c>
    </row>
    <row r="102" spans="2:7" x14ac:dyDescent="0.2">
      <c r="B102" s="25">
        <f t="shared" ca="1" si="11"/>
        <v>3.0800000000000018</v>
      </c>
      <c r="C102" s="30">
        <f t="shared" ca="1" si="15"/>
        <v>0.77362604613970942</v>
      </c>
      <c r="D102" s="31">
        <f t="shared" ca="1" si="12"/>
        <v>2.5830561890626269E-3</v>
      </c>
      <c r="E102" s="32">
        <v>6.9176150883942331E-3</v>
      </c>
      <c r="F102" s="34">
        <f t="shared" ca="1" si="13"/>
        <v>0.85727202101145739</v>
      </c>
      <c r="G102" s="35">
        <f t="shared" ca="1" si="14"/>
        <v>1.5318240948266962E-5</v>
      </c>
    </row>
    <row r="103" spans="2:7" x14ac:dyDescent="0.2">
      <c r="B103" s="25">
        <f t="shared" ca="1" si="11"/>
        <v>3.1200000000000019</v>
      </c>
      <c r="C103" s="30">
        <f t="shared" ca="1" si="15"/>
        <v>0.77105158580356303</v>
      </c>
      <c r="D103" s="31">
        <f t="shared" ca="1" si="12"/>
        <v>2.5744603361463891E-3</v>
      </c>
      <c r="E103" s="32">
        <v>6.8665789513538376E-3</v>
      </c>
      <c r="F103" s="34">
        <f t="shared" ca="1" si="13"/>
        <v>0.85555919037101835</v>
      </c>
      <c r="G103" s="35">
        <f t="shared" ca="1" si="14"/>
        <v>1.5124348777043038E-5</v>
      </c>
    </row>
    <row r="104" spans="2:7" x14ac:dyDescent="0.2">
      <c r="B104" s="25">
        <f t="shared" ca="1" si="11"/>
        <v>3.1600000000000019</v>
      </c>
      <c r="C104" s="30">
        <f t="shared" ca="1" si="15"/>
        <v>0.76848569271519152</v>
      </c>
      <c r="D104" s="31">
        <f t="shared" ca="1" si="12"/>
        <v>2.5658930883715181E-3</v>
      </c>
      <c r="E104" s="32">
        <v>6.8086780715436949E-3</v>
      </c>
      <c r="F104" s="34">
        <f t="shared" ca="1" si="13"/>
        <v>0.8538497819684816</v>
      </c>
      <c r="G104" s="35">
        <f t="shared" ca="1" si="14"/>
        <v>1.4917046003945998E-5</v>
      </c>
    </row>
    <row r="105" spans="2:7" x14ac:dyDescent="0.2">
      <c r="B105" s="25">
        <f t="shared" ca="1" si="11"/>
        <v>3.200000000000002</v>
      </c>
      <c r="C105" s="30">
        <f t="shared" ca="1" si="15"/>
        <v>0.76592833836464536</v>
      </c>
      <c r="D105" s="31">
        <f t="shared" ca="1" si="12"/>
        <v>2.5573543505461593E-3</v>
      </c>
      <c r="E105" s="32">
        <v>6.7500056753557157E-3</v>
      </c>
      <c r="F105" s="34">
        <f t="shared" ca="1" si="13"/>
        <v>0.85214378896621124</v>
      </c>
      <c r="G105" s="35">
        <f t="shared" ca="1" si="14"/>
        <v>1.4709839343450507E-5</v>
      </c>
    </row>
    <row r="106" spans="2:7" x14ac:dyDescent="0.2">
      <c r="B106" s="25">
        <f t="shared" ca="1" si="11"/>
        <v>3.240000000000002</v>
      </c>
      <c r="C106" s="30">
        <f t="shared" ca="1" si="15"/>
        <v>0.76337949433684982</v>
      </c>
      <c r="D106" s="31">
        <f t="shared" ca="1" si="12"/>
        <v>2.5488440277955382E-3</v>
      </c>
      <c r="E106" s="32">
        <v>6.6712938842048725E-3</v>
      </c>
      <c r="F106" s="34">
        <f t="shared" ca="1" si="13"/>
        <v>0.85044120454023286</v>
      </c>
      <c r="G106" s="35">
        <f t="shared" ca="1" si="14"/>
        <v>1.4460976718901167E-5</v>
      </c>
    </row>
    <row r="107" spans="2:7" x14ac:dyDescent="0.2">
      <c r="B107" s="25">
        <f t="shared" ca="1" si="11"/>
        <v>3.280000000000002</v>
      </c>
      <c r="C107" s="30">
        <f t="shared" ca="1" si="15"/>
        <v>0.76083913231128952</v>
      </c>
      <c r="D107" s="31">
        <f t="shared" ca="1" si="12"/>
        <v>2.5403620255602943E-3</v>
      </c>
      <c r="E107" s="32">
        <v>6.5927802265672939E-3</v>
      </c>
      <c r="F107" s="34">
        <f t="shared" ca="1" si="13"/>
        <v>0.84874202188020664</v>
      </c>
      <c r="G107" s="35">
        <f t="shared" ca="1" si="14"/>
        <v>1.4214772572270367E-5</v>
      </c>
    </row>
    <row r="108" spans="2:7" x14ac:dyDescent="0.2">
      <c r="B108" s="25">
        <f t="shared" ca="1" si="11"/>
        <v>3.3200000000000021</v>
      </c>
      <c r="C108" s="30">
        <f t="shared" ca="1" si="15"/>
        <v>0.7583072240616936</v>
      </c>
      <c r="D108" s="31">
        <f t="shared" ca="1" si="12"/>
        <v>2.5319082495959266E-3</v>
      </c>
      <c r="E108" s="32">
        <v>6.5079521519465135E-3</v>
      </c>
      <c r="F108" s="34">
        <f t="shared" ca="1" si="13"/>
        <v>0.84704623418939951</v>
      </c>
      <c r="G108" s="35">
        <f t="shared" ca="1" si="14"/>
        <v>1.3957236292641912E-5</v>
      </c>
    </row>
    <row r="109" spans="2:7" x14ac:dyDescent="0.2">
      <c r="B109" s="25">
        <f t="shared" ca="1" si="11"/>
        <v>3.3600000000000021</v>
      </c>
      <c r="C109" s="30">
        <f t="shared" ca="1" si="15"/>
        <v>0.75578374145572202</v>
      </c>
      <c r="D109" s="31">
        <f t="shared" ca="1" si="12"/>
        <v>2.523482605971572E-3</v>
      </c>
      <c r="E109" s="32">
        <v>6.4249592160543021E-3</v>
      </c>
      <c r="F109" s="34">
        <f t="shared" ca="1" si="13"/>
        <v>0.84535383468465863</v>
      </c>
      <c r="G109" s="35">
        <f t="shared" ca="1" si="14"/>
        <v>1.370595235606996E-5</v>
      </c>
    </row>
    <row r="110" spans="2:7" x14ac:dyDescent="0.2">
      <c r="B110" s="25">
        <f t="shared" ca="1" si="11"/>
        <v>3.4000000000000021</v>
      </c>
      <c r="C110" s="30">
        <f t="shared" ca="1" si="15"/>
        <v>0.75326865645465335</v>
      </c>
      <c r="D110" s="31">
        <f t="shared" ca="1" si="12"/>
        <v>2.5150850010686732E-3</v>
      </c>
      <c r="E110" s="32">
        <v>6.352795582028805E-3</v>
      </c>
      <c r="F110" s="34">
        <f t="shared" ca="1" si="13"/>
        <v>0.84366481659638359</v>
      </c>
      <c r="G110" s="35">
        <f t="shared" ca="1" si="14"/>
        <v>1.3479925325048276E-5</v>
      </c>
    </row>
    <row r="111" spans="2:7" x14ac:dyDescent="0.2">
      <c r="B111" s="25">
        <f t="shared" ca="1" si="11"/>
        <v>3.4400000000000022</v>
      </c>
      <c r="C111" s="30">
        <f t="shared" ca="1" si="15"/>
        <v>0.75076194111307271</v>
      </c>
      <c r="D111" s="31">
        <f t="shared" ca="1" si="12"/>
        <v>2.5067153415806454E-3</v>
      </c>
      <c r="E111" s="32">
        <v>6.2818699379214461E-3</v>
      </c>
      <c r="F111" s="34">
        <f t="shared" ca="1" si="13"/>
        <v>0.84197917316849979</v>
      </c>
      <c r="G111" s="35">
        <f t="shared" ca="1" si="14"/>
        <v>1.3258527949949425E-5</v>
      </c>
    </row>
    <row r="112" spans="2:7" x14ac:dyDescent="0.2">
      <c r="B112" s="25">
        <f t="shared" ca="1" si="11"/>
        <v>3.4800000000000022</v>
      </c>
      <c r="C112" s="30">
        <f t="shared" ca="1" si="15"/>
        <v>0.74826356757856172</v>
      </c>
      <c r="D112" s="31">
        <f t="shared" ca="1" si="12"/>
        <v>2.4983735345109892E-3</v>
      </c>
      <c r="E112" s="32">
        <v>6.2065090305696378E-3</v>
      </c>
      <c r="F112" s="34">
        <f t="shared" ca="1" si="13"/>
        <v>0.8402968976584313</v>
      </c>
      <c r="G112" s="35">
        <f t="shared" ca="1" si="14"/>
        <v>1.3029793187000878E-5</v>
      </c>
    </row>
    <row r="113" spans="2:7" x14ac:dyDescent="0.2">
      <c r="B113" s="25">
        <f t="shared" ca="1" si="11"/>
        <v>3.5200000000000022</v>
      </c>
      <c r="C113" s="30">
        <f t="shared" ca="1" si="15"/>
        <v>0.74577350809138865</v>
      </c>
      <c r="D113" s="31">
        <f t="shared" ca="1" si="12"/>
        <v>2.4900594871730686E-3</v>
      </c>
      <c r="E113" s="32">
        <v>6.1374242822231657E-3</v>
      </c>
      <c r="F113" s="34">
        <f t="shared" ca="1" si="13"/>
        <v>0.83861798333707394</v>
      </c>
      <c r="G113" s="35">
        <f t="shared" ca="1" si="14"/>
        <v>1.2816222570126177E-5</v>
      </c>
    </row>
    <row r="114" spans="2:7" x14ac:dyDescent="0.2">
      <c r="B114" s="25">
        <f t="shared" ca="1" si="11"/>
        <v>3.5600000000000023</v>
      </c>
      <c r="C114" s="30">
        <f t="shared" ca="1" si="15"/>
        <v>0.74329173498420031</v>
      </c>
      <c r="D114" s="31">
        <f t="shared" ca="1" si="12"/>
        <v>2.4817731071883342E-3</v>
      </c>
      <c r="E114" s="32">
        <v>6.0740043931206914E-3</v>
      </c>
      <c r="F114" s="34">
        <f t="shared" ca="1" si="13"/>
        <v>0.83694242348876802</v>
      </c>
      <c r="G114" s="35">
        <f t="shared" ca="1" si="14"/>
        <v>1.2616321806950061E-5</v>
      </c>
    </row>
    <row r="115" spans="2:7" x14ac:dyDescent="0.2">
      <c r="B115" s="25">
        <f t="shared" ca="1" si="11"/>
        <v>3.6000000000000023</v>
      </c>
      <c r="C115" s="30">
        <f t="shared" ca="1" si="15"/>
        <v>0.74081822068171432</v>
      </c>
      <c r="D115" s="31">
        <f t="shared" ca="1" si="12"/>
        <v>2.4735143024859907E-3</v>
      </c>
      <c r="E115" s="32">
        <v>6.003638778545508E-3</v>
      </c>
      <c r="F115" s="34">
        <f t="shared" ca="1" si="13"/>
        <v>0.83527021141127189</v>
      </c>
      <c r="G115" s="35">
        <f t="shared" ca="1" si="14"/>
        <v>1.2403834794852471E-5</v>
      </c>
    </row>
    <row r="116" spans="2:7" x14ac:dyDescent="0.2">
      <c r="B116" s="25">
        <f t="shared" ca="1" si="11"/>
        <v>3.6400000000000023</v>
      </c>
      <c r="C116" s="30">
        <f t="shared" ca="1" si="15"/>
        <v>0.7383529377004131</v>
      </c>
      <c r="D116" s="31">
        <f t="shared" ca="1" si="12"/>
        <v>2.46528298130122E-3</v>
      </c>
      <c r="E116" s="32">
        <v>5.9383294092244365E-3</v>
      </c>
      <c r="F116" s="34">
        <f t="shared" ca="1" si="13"/>
        <v>0.83360134041573519</v>
      </c>
      <c r="G116" s="35">
        <f t="shared" ca="1" si="14"/>
        <v>1.2203642224816467E-5</v>
      </c>
    </row>
    <row r="117" spans="2:7" x14ac:dyDescent="0.2">
      <c r="B117" s="25">
        <f t="shared" ca="1" si="11"/>
        <v>3.6800000000000024</v>
      </c>
      <c r="C117" s="30">
        <f t="shared" ca="1" si="15"/>
        <v>0.73589585864823814</v>
      </c>
      <c r="D117" s="31">
        <f t="shared" ca="1" si="12"/>
        <v>2.4570790521749597E-3</v>
      </c>
      <c r="E117" s="32">
        <v>5.8658068176216573E-3</v>
      </c>
      <c r="F117" s="34">
        <f t="shared" ca="1" si="13"/>
        <v>0.83193580382667165</v>
      </c>
      <c r="G117" s="35">
        <f t="shared" ca="1" si="14"/>
        <v>1.1990483634863545E-5</v>
      </c>
    </row>
    <row r="118" spans="2:7" x14ac:dyDescent="0.2">
      <c r="B118" s="25">
        <f t="shared" ca="1" si="11"/>
        <v>3.7200000000000024</v>
      </c>
      <c r="C118" s="30">
        <f t="shared" ca="1" si="15"/>
        <v>0.73344695622428568</v>
      </c>
      <c r="D118" s="31">
        <f t="shared" ca="1" si="12"/>
        <v>2.4489024239524593E-3</v>
      </c>
      <c r="E118" s="32">
        <v>5.7874374597470541E-3</v>
      </c>
      <c r="F118" s="34">
        <f t="shared" ca="1" si="13"/>
        <v>0.83027359498193254</v>
      </c>
      <c r="G118" s="35">
        <f t="shared" ca="1" si="14"/>
        <v>1.1767359413636308E-5</v>
      </c>
    </row>
    <row r="119" spans="2:7" x14ac:dyDescent="0.2">
      <c r="B119" s="25">
        <f t="shared" ca="1" si="11"/>
        <v>3.7600000000000025</v>
      </c>
      <c r="C119" s="30">
        <f t="shared" ca="1" si="15"/>
        <v>0.73100620321850374</v>
      </c>
      <c r="D119" s="31">
        <f t="shared" ca="1" si="12"/>
        <v>2.4407530057819482E-3</v>
      </c>
      <c r="E119" s="32">
        <v>5.6988028494504486E-3</v>
      </c>
      <c r="F119" s="34">
        <f t="shared" ca="1" si="13"/>
        <v>0.82861470723268049</v>
      </c>
      <c r="G119" s="35">
        <f t="shared" ca="1" si="14"/>
        <v>1.15255087029345E-5</v>
      </c>
    </row>
    <row r="120" spans="2:7" x14ac:dyDescent="0.2">
      <c r="B120" s="25">
        <f t="shared" ca="1" si="11"/>
        <v>3.8000000000000025</v>
      </c>
      <c r="C120" s="30">
        <f t="shared" ca="1" si="15"/>
        <v>0.72857357251138932</v>
      </c>
      <c r="D120" s="31">
        <f t="shared" ca="1" si="12"/>
        <v>2.4326307071144138E-3</v>
      </c>
      <c r="E120" s="32">
        <v>5.5873783123172524E-3</v>
      </c>
      <c r="F120" s="34">
        <f t="shared" ca="1" si="13"/>
        <v>0.82695913394336218</v>
      </c>
      <c r="G120" s="35">
        <f t="shared" ca="1" si="14"/>
        <v>1.1240051748737952E-5</v>
      </c>
    </row>
    <row r="121" spans="2:7" x14ac:dyDescent="0.2">
      <c r="B121" s="25">
        <f t="shared" ca="1" si="11"/>
        <v>3.8400000000000025</v>
      </c>
      <c r="C121" s="30">
        <f t="shared" ca="1" si="15"/>
        <v>0.72614903707368728</v>
      </c>
      <c r="D121" s="31">
        <f t="shared" ca="1" si="12"/>
        <v>2.4245354377020467E-3</v>
      </c>
      <c r="E121" s="32">
        <v>5.4635504030164719E-3</v>
      </c>
      <c r="F121" s="34">
        <f t="shared" ca="1" si="13"/>
        <v>0.82530686849168222</v>
      </c>
      <c r="G121" s="35">
        <f t="shared" ca="1" si="14"/>
        <v>1.0932486498859372E-5</v>
      </c>
    </row>
    <row r="122" spans="2:7" x14ac:dyDescent="0.2">
      <c r="B122" s="25">
        <f t="shared" ref="B122:B150" ca="1" si="16">B121+0.04</f>
        <v>3.8800000000000026</v>
      </c>
      <c r="C122" s="30">
        <f t="shared" ca="1" si="15"/>
        <v>0.72373256996609003</v>
      </c>
      <c r="D122" s="31">
        <f t="shared" ref="D122:D150" ca="1" si="17">C121-C122</f>
        <v>2.4164671075972421E-3</v>
      </c>
      <c r="E122" s="32">
        <v>5.3267911953677576E-3</v>
      </c>
      <c r="F122" s="34">
        <f t="shared" ref="F122:F150" ca="1" si="18">EXP(-IRate*B122)</f>
        <v>0.82365790426857677</v>
      </c>
      <c r="G122" s="35">
        <f t="shared" ref="G122:G150" ca="1" si="19">D122*E122*F122</f>
        <v>1.060213748558919E-5</v>
      </c>
    </row>
    <row r="123" spans="2:7" x14ac:dyDescent="0.2">
      <c r="B123" s="25">
        <f t="shared" ca="1" si="16"/>
        <v>3.9200000000000026</v>
      </c>
      <c r="C123" s="30">
        <f t="shared" ca="1" si="15"/>
        <v>0.72132414433893832</v>
      </c>
      <c r="D123" s="31">
        <f t="shared" ca="1" si="17"/>
        <v>2.4084256271517113E-3</v>
      </c>
      <c r="E123" s="32">
        <v>5.1805507542064724E-3</v>
      </c>
      <c r="F123" s="34">
        <f t="shared" ca="1" si="18"/>
        <v>0.8220122346781864</v>
      </c>
      <c r="G123" s="35">
        <f t="shared" ca="1" si="19"/>
        <v>1.0256222977462361E-5</v>
      </c>
    </row>
    <row r="124" spans="2:7" x14ac:dyDescent="0.2">
      <c r="B124" s="25">
        <f t="shared" ca="1" si="16"/>
        <v>3.9600000000000026</v>
      </c>
      <c r="C124" s="30">
        <f t="shared" ca="1" si="15"/>
        <v>0.71892373343192251</v>
      </c>
      <c r="D124" s="31">
        <f t="shared" ca="1" si="17"/>
        <v>2.4004109070158153E-3</v>
      </c>
      <c r="E124" s="32">
        <v>5.0514324310527298E-3</v>
      </c>
      <c r="F124" s="34">
        <f t="shared" ca="1" si="18"/>
        <v>0.82036985313783095</v>
      </c>
      <c r="G124" s="35">
        <f t="shared" ca="1" si="19"/>
        <v>9.9474057321300592E-6</v>
      </c>
    </row>
    <row r="125" spans="2:7" x14ac:dyDescent="0.2">
      <c r="B125" s="25">
        <f t="shared" ca="1" si="16"/>
        <v>4.0000000000000027</v>
      </c>
      <c r="C125" s="30">
        <f t="shared" ca="1" si="15"/>
        <v>0.71653131057378561</v>
      </c>
      <c r="D125" s="31">
        <f t="shared" ca="1" si="17"/>
        <v>2.3924228581369E-3</v>
      </c>
      <c r="E125" s="32">
        <v>4.9173847739741421E-3</v>
      </c>
      <c r="F125" s="34">
        <f t="shared" ca="1" si="18"/>
        <v>0.81873075307798171</v>
      </c>
      <c r="G125" s="35">
        <f t="shared" ca="1" si="19"/>
        <v>9.6319282537327834E-6</v>
      </c>
    </row>
    <row r="126" spans="2:7" x14ac:dyDescent="0.2">
      <c r="B126" s="25">
        <f t="shared" ca="1" si="16"/>
        <v>4.0400000000000027</v>
      </c>
      <c r="C126" s="30">
        <f t="shared" ref="C126:C150" ca="1" si="20">C125*EXP(-(B126-B125)*HazardRate5)</f>
        <v>0.71414684918202676</v>
      </c>
      <c r="D126" s="31">
        <f t="shared" ca="1" si="17"/>
        <v>2.384461391758852E-3</v>
      </c>
      <c r="E126" s="32">
        <v>4.7734715882910336E-3</v>
      </c>
      <c r="F126" s="34">
        <f t="shared" ca="1" si="18"/>
        <v>0.81709492794223648</v>
      </c>
      <c r="G126" s="35">
        <f t="shared" ca="1" si="19"/>
        <v>9.3003041484724199E-6</v>
      </c>
    </row>
    <row r="127" spans="2:7" x14ac:dyDescent="0.2">
      <c r="B127" s="25">
        <f t="shared" ca="1" si="16"/>
        <v>4.0800000000000027</v>
      </c>
      <c r="C127" s="30">
        <f t="shared" ca="1" si="20"/>
        <v>0.71177032276260599</v>
      </c>
      <c r="D127" s="31">
        <f t="shared" ca="1" si="17"/>
        <v>2.3765264194207658E-3</v>
      </c>
      <c r="E127" s="32">
        <v>4.6160697720324037E-3</v>
      </c>
      <c r="F127" s="34">
        <f t="shared" ca="1" si="18"/>
        <v>0.81546237118729259</v>
      </c>
      <c r="G127" s="35">
        <f t="shared" ca="1" si="19"/>
        <v>8.9457949000461647E-6</v>
      </c>
    </row>
    <row r="128" spans="2:7" x14ac:dyDescent="0.2">
      <c r="B128" s="25">
        <f t="shared" ca="1" si="16"/>
        <v>4.1200000000000028</v>
      </c>
      <c r="C128" s="30">
        <f t="shared" ca="1" si="20"/>
        <v>0.70940170490964982</v>
      </c>
      <c r="D128" s="31">
        <f t="shared" ca="1" si="17"/>
        <v>2.3686178529561674E-3</v>
      </c>
      <c r="E128" s="32">
        <v>4.4548337417305E-3</v>
      </c>
      <c r="F128" s="34">
        <f t="shared" ca="1" si="18"/>
        <v>0.81383307628292056</v>
      </c>
      <c r="G128" s="35">
        <f t="shared" ca="1" si="19"/>
        <v>8.5874028228817888E-6</v>
      </c>
    </row>
    <row r="129" spans="2:7" x14ac:dyDescent="0.2">
      <c r="B129" s="25">
        <f t="shared" ca="1" si="16"/>
        <v>4.1600000000000028</v>
      </c>
      <c r="C129" s="30">
        <f t="shared" ca="1" si="20"/>
        <v>0.7070409693051577</v>
      </c>
      <c r="D129" s="31">
        <f t="shared" ca="1" si="17"/>
        <v>2.3607356044921257E-3</v>
      </c>
      <c r="E129" s="32">
        <v>4.272367433497945E-3</v>
      </c>
      <c r="F129" s="34">
        <f t="shared" ca="1" si="18"/>
        <v>0.81220703671193883</v>
      </c>
      <c r="G129" s="35">
        <f t="shared" ca="1" si="19"/>
        <v>8.1918632493403678E-6</v>
      </c>
    </row>
    <row r="130" spans="2:7" x14ac:dyDescent="0.2">
      <c r="B130" s="25">
        <f t="shared" ca="1" si="16"/>
        <v>4.2000000000000028</v>
      </c>
      <c r="C130" s="30">
        <f t="shared" ca="1" si="20"/>
        <v>0.70468808971870966</v>
      </c>
      <c r="D130" s="31">
        <f t="shared" ca="1" si="17"/>
        <v>2.3528795864480312E-3</v>
      </c>
      <c r="E130" s="32">
        <v>4.0854898921780444E-3</v>
      </c>
      <c r="F130" s="34">
        <f t="shared" ca="1" si="18"/>
        <v>0.81058424597018697</v>
      </c>
      <c r="G130" s="35">
        <f t="shared" ca="1" si="19"/>
        <v>7.7918754332735231E-6</v>
      </c>
    </row>
    <row r="131" spans="2:7" x14ac:dyDescent="0.2">
      <c r="B131" s="25">
        <f t="shared" ca="1" si="16"/>
        <v>4.2400000000000029</v>
      </c>
      <c r="C131" s="30">
        <f t="shared" ca="1" si="20"/>
        <v>0.70234304000717507</v>
      </c>
      <c r="D131" s="31">
        <f t="shared" ca="1" si="17"/>
        <v>2.345049711534597E-3</v>
      </c>
      <c r="E131" s="32">
        <v>3.8951033841496206E-3</v>
      </c>
      <c r="F131" s="34">
        <f t="shared" ca="1" si="18"/>
        <v>0.80896469756649969</v>
      </c>
      <c r="G131" s="35">
        <f t="shared" ca="1" si="19"/>
        <v>7.389254293645793E-6</v>
      </c>
    </row>
    <row r="132" spans="2:7" x14ac:dyDescent="0.2">
      <c r="B132" s="25">
        <f t="shared" ca="1" si="16"/>
        <v>4.2800000000000029</v>
      </c>
      <c r="C132" s="30">
        <f t="shared" ca="1" si="20"/>
        <v>0.70000579411442188</v>
      </c>
      <c r="D132" s="31">
        <f t="shared" ca="1" si="17"/>
        <v>2.3372458927531925E-3</v>
      </c>
      <c r="E132" s="32">
        <v>3.7075143330407342E-3</v>
      </c>
      <c r="F132" s="34">
        <f t="shared" ca="1" si="18"/>
        <v>0.80734838502268136</v>
      </c>
      <c r="G132" s="35">
        <f t="shared" ca="1" si="19"/>
        <v>6.9959746123552442E-6</v>
      </c>
    </row>
    <row r="133" spans="2:7" x14ac:dyDescent="0.2">
      <c r="B133" s="25">
        <f t="shared" ca="1" si="16"/>
        <v>4.3200000000000029</v>
      </c>
      <c r="C133" s="30">
        <f t="shared" ca="1" si="20"/>
        <v>0.69767632607102725</v>
      </c>
      <c r="D133" s="31">
        <f t="shared" ca="1" si="17"/>
        <v>2.3294680433946224E-3</v>
      </c>
      <c r="E133" s="32">
        <v>3.5100192606923493E-3</v>
      </c>
      <c r="F133" s="34">
        <f t="shared" ca="1" si="18"/>
        <v>0.80573530187347953</v>
      </c>
      <c r="G133" s="35">
        <f t="shared" ca="1" si="19"/>
        <v>6.5880767274542625E-6</v>
      </c>
    </row>
    <row r="134" spans="2:7" x14ac:dyDescent="0.2">
      <c r="B134" s="25">
        <f t="shared" ca="1" si="16"/>
        <v>4.360000000000003</v>
      </c>
      <c r="C134" s="30">
        <f t="shared" ca="1" si="20"/>
        <v>0.6953546099939889</v>
      </c>
      <c r="D134" s="31">
        <f t="shared" ca="1" si="17"/>
        <v>2.3217160770383494E-3</v>
      </c>
      <c r="E134" s="32">
        <v>3.3106563333280634E-3</v>
      </c>
      <c r="F134" s="34">
        <f t="shared" ca="1" si="18"/>
        <v>0.80412544166655953</v>
      </c>
      <c r="G134" s="35">
        <f t="shared" ca="1" si="19"/>
        <v>6.1808330391797788E-6</v>
      </c>
    </row>
    <row r="135" spans="2:7" x14ac:dyDescent="0.2">
      <c r="B135" s="25">
        <f t="shared" ca="1" si="16"/>
        <v>4.400000000000003</v>
      </c>
      <c r="C135" s="30">
        <f t="shared" ca="1" si="20"/>
        <v>0.69304062008643763</v>
      </c>
      <c r="D135" s="31">
        <f t="shared" ca="1" si="17"/>
        <v>2.3139899075512727E-3</v>
      </c>
      <c r="E135" s="32">
        <v>3.1133419290748617E-3</v>
      </c>
      <c r="F135" s="34">
        <f t="shared" ca="1" si="18"/>
        <v>0.80251879796247838</v>
      </c>
      <c r="G135" s="35">
        <f t="shared" ca="1" si="19"/>
        <v>5.781539471682032E-6</v>
      </c>
    </row>
    <row r="136" spans="2:7" x14ac:dyDescent="0.2">
      <c r="B136" s="25">
        <f t="shared" ca="1" si="16"/>
        <v>4.4400000000000031</v>
      </c>
      <c r="C136" s="30">
        <f t="shared" ca="1" si="20"/>
        <v>0.69073433063735079</v>
      </c>
      <c r="D136" s="31">
        <f t="shared" ca="1" si="17"/>
        <v>2.3062894490868402E-3</v>
      </c>
      <c r="E136" s="32">
        <v>2.9075788798869906E-3</v>
      </c>
      <c r="F136" s="34">
        <f t="shared" ca="1" si="18"/>
        <v>0.80091536433465904</v>
      </c>
      <c r="G136" s="35">
        <f t="shared" ca="1" si="19"/>
        <v>5.3707129700037002E-6</v>
      </c>
    </row>
    <row r="137" spans="2:7" x14ac:dyDescent="0.2">
      <c r="B137" s="25">
        <f t="shared" ca="1" si="16"/>
        <v>4.4800000000000031</v>
      </c>
      <c r="C137" s="30">
        <f t="shared" ca="1" si="20"/>
        <v>0.68843571602126619</v>
      </c>
      <c r="D137" s="31">
        <f t="shared" ca="1" si="17"/>
        <v>2.2986146160846044E-3</v>
      </c>
      <c r="E137" s="32">
        <v>2.6810862637907185E-3</v>
      </c>
      <c r="F137" s="34">
        <f t="shared" ca="1" si="18"/>
        <v>0.79931513436936497</v>
      </c>
      <c r="G137" s="35">
        <f t="shared" ca="1" si="19"/>
        <v>4.9260065793458302E-6</v>
      </c>
    </row>
    <row r="138" spans="2:7" x14ac:dyDescent="0.2">
      <c r="B138" s="25">
        <f t="shared" ca="1" si="16"/>
        <v>4.5200000000000031</v>
      </c>
      <c r="C138" s="30">
        <f t="shared" ca="1" si="20"/>
        <v>0.68614475069799785</v>
      </c>
      <c r="D138" s="31">
        <f t="shared" ca="1" si="17"/>
        <v>2.2909653232683347E-3</v>
      </c>
      <c r="E138" s="32">
        <v>2.4617464162547883E-3</v>
      </c>
      <c r="F138" s="34">
        <f t="shared" ca="1" si="18"/>
        <v>0.79771810166567414</v>
      </c>
      <c r="G138" s="35">
        <f t="shared" ca="1" si="19"/>
        <v>4.4989511447386503E-6</v>
      </c>
    </row>
    <row r="139" spans="2:7" x14ac:dyDescent="0.2">
      <c r="B139" s="25">
        <f t="shared" ca="1" si="16"/>
        <v>4.5600000000000032</v>
      </c>
      <c r="C139" s="30">
        <f t="shared" ca="1" si="20"/>
        <v>0.68386140921235195</v>
      </c>
      <c r="D139" s="31">
        <f t="shared" ca="1" si="17"/>
        <v>2.2833414856459067E-3</v>
      </c>
      <c r="E139" s="32">
        <v>2.241451057036447E-3</v>
      </c>
      <c r="F139" s="34">
        <f t="shared" ca="1" si="18"/>
        <v>0.79612425983545354</v>
      </c>
      <c r="G139" s="35">
        <f t="shared" ca="1" si="19"/>
        <v>4.0745625181271622E-6</v>
      </c>
    </row>
    <row r="140" spans="2:7" x14ac:dyDescent="0.2">
      <c r="B140" s="25">
        <f t="shared" ca="1" si="16"/>
        <v>4.6000000000000032</v>
      </c>
      <c r="C140" s="30">
        <f t="shared" ca="1" si="20"/>
        <v>0.68158566619384398</v>
      </c>
      <c r="D140" s="31">
        <f t="shared" ca="1" si="17"/>
        <v>2.2757430185079697E-3</v>
      </c>
      <c r="E140" s="32">
        <v>2.0314954176019837E-3</v>
      </c>
      <c r="F140" s="34">
        <f t="shared" ca="1" si="18"/>
        <v>0.79453360250333382</v>
      </c>
      <c r="G140" s="35">
        <f t="shared" ca="1" si="19"/>
        <v>3.6732571724655332E-6</v>
      </c>
    </row>
    <row r="141" spans="2:7" x14ac:dyDescent="0.2">
      <c r="B141" s="25">
        <f t="shared" ca="1" si="16"/>
        <v>4.6400000000000032</v>
      </c>
      <c r="C141" s="30">
        <f t="shared" ca="1" si="20"/>
        <v>0.67931749635641703</v>
      </c>
      <c r="D141" s="31">
        <f t="shared" ca="1" si="17"/>
        <v>2.2681698374269477E-3</v>
      </c>
      <c r="E141" s="32">
        <v>1.8318053656978138E-3</v>
      </c>
      <c r="F141" s="34">
        <f t="shared" ca="1" si="18"/>
        <v>0.79294612330668357</v>
      </c>
      <c r="G141" s="35">
        <f t="shared" ca="1" si="19"/>
        <v>3.2945687737141096E-6</v>
      </c>
    </row>
    <row r="142" spans="2:7" x14ac:dyDescent="0.2">
      <c r="B142" s="25">
        <f t="shared" ca="1" si="16"/>
        <v>4.6800000000000033</v>
      </c>
      <c r="C142" s="30">
        <f t="shared" ca="1" si="20"/>
        <v>0.67705687449816065</v>
      </c>
      <c r="D142" s="31">
        <f t="shared" ca="1" si="17"/>
        <v>2.2606218582563731E-3</v>
      </c>
      <c r="E142" s="32">
        <v>1.6373514122338933E-3</v>
      </c>
      <c r="F142" s="34">
        <f t="shared" ca="1" si="18"/>
        <v>0.79136181589558374</v>
      </c>
      <c r="G142" s="35">
        <f t="shared" ca="1" si="19"/>
        <v>2.9291722592609244E-6</v>
      </c>
    </row>
    <row r="143" spans="2:7" x14ac:dyDescent="0.2">
      <c r="B143" s="25">
        <f t="shared" ca="1" si="16"/>
        <v>4.7200000000000033</v>
      </c>
      <c r="C143" s="30">
        <f t="shared" ca="1" si="20"/>
        <v>0.67480377550103099</v>
      </c>
      <c r="D143" s="31">
        <f t="shared" ca="1" si="17"/>
        <v>2.2530989971296655E-3</v>
      </c>
      <c r="E143" s="32">
        <v>1.4431596257127545E-3</v>
      </c>
      <c r="F143" s="34">
        <f t="shared" ca="1" si="18"/>
        <v>0.7897806739328026</v>
      </c>
      <c r="G143" s="35">
        <f t="shared" ca="1" si="19"/>
        <v>2.5680362326754808E-6</v>
      </c>
    </row>
    <row r="144" spans="2:7" x14ac:dyDescent="0.2">
      <c r="B144" s="25">
        <f t="shared" ca="1" si="16"/>
        <v>4.7600000000000033</v>
      </c>
      <c r="C144" s="30">
        <f t="shared" ca="1" si="20"/>
        <v>0.67255817433057152</v>
      </c>
      <c r="D144" s="31">
        <f t="shared" ca="1" si="17"/>
        <v>2.2456011704594658E-3</v>
      </c>
      <c r="E144" s="32">
        <v>1.244421011599545E-3</v>
      </c>
      <c r="F144" s="34">
        <f t="shared" ca="1" si="18"/>
        <v>0.78820269109377028</v>
      </c>
      <c r="G144" s="35">
        <f t="shared" ca="1" si="19"/>
        <v>2.2026113596371989E-6</v>
      </c>
    </row>
    <row r="145" spans="2:7" x14ac:dyDescent="0.2">
      <c r="B145" s="25">
        <f t="shared" ca="1" si="16"/>
        <v>4.8000000000000034</v>
      </c>
      <c r="C145" s="30">
        <f t="shared" ca="1" si="20"/>
        <v>0.67032004603563511</v>
      </c>
      <c r="D145" s="31">
        <f t="shared" ca="1" si="17"/>
        <v>2.2381282949364145E-3</v>
      </c>
      <c r="E145" s="32">
        <v>1.0403626686485527E-3</v>
      </c>
      <c r="F145" s="34">
        <f t="shared" ca="1" si="18"/>
        <v>0.78662786106655325</v>
      </c>
      <c r="G145" s="35">
        <f t="shared" ca="1" si="19"/>
        <v>1.8316355413957891E-6</v>
      </c>
    </row>
    <row r="146" spans="2:7" x14ac:dyDescent="0.2">
      <c r="B146" s="25">
        <f t="shared" ca="1" si="16"/>
        <v>4.8400000000000034</v>
      </c>
      <c r="C146" s="30">
        <f t="shared" ca="1" si="20"/>
        <v>0.66808936574810651</v>
      </c>
      <c r="D146" s="31">
        <f t="shared" ca="1" si="17"/>
        <v>2.2306802875285969E-3</v>
      </c>
      <c r="E146" s="32">
        <v>8.2699991413198032E-4</v>
      </c>
      <c r="F146" s="34">
        <f t="shared" ca="1" si="18"/>
        <v>0.78505617755182933</v>
      </c>
      <c r="G146" s="35">
        <f t="shared" ca="1" si="19"/>
        <v>1.448249973697475E-6</v>
      </c>
    </row>
    <row r="147" spans="2:7" x14ac:dyDescent="0.2">
      <c r="B147" s="25">
        <f t="shared" ca="1" si="16"/>
        <v>4.8800000000000034</v>
      </c>
      <c r="C147" s="30">
        <f t="shared" ca="1" si="20"/>
        <v>0.66586610868262619</v>
      </c>
      <c r="D147" s="31">
        <f t="shared" ca="1" si="17"/>
        <v>2.2232570654803219E-3</v>
      </c>
      <c r="E147" s="32">
        <v>6.1876067185516991E-4</v>
      </c>
      <c r="F147" s="34">
        <f t="shared" ca="1" si="18"/>
        <v>0.78348763426286239</v>
      </c>
      <c r="G147" s="35">
        <f t="shared" ca="1" si="19"/>
        <v>1.0778157607483672E-6</v>
      </c>
    </row>
    <row r="148" spans="2:7" x14ac:dyDescent="0.2">
      <c r="B148" s="25">
        <f t="shared" ca="1" si="16"/>
        <v>4.9200000000000035</v>
      </c>
      <c r="C148" s="30">
        <f t="shared" ca="1" si="20"/>
        <v>0.66365025013631507</v>
      </c>
      <c r="D148" s="31">
        <f t="shared" ca="1" si="17"/>
        <v>2.2158585463111224E-3</v>
      </c>
      <c r="E148" s="32">
        <v>4.1477574576805846E-4</v>
      </c>
      <c r="F148" s="34">
        <f t="shared" ca="1" si="18"/>
        <v>0.78192222492547714</v>
      </c>
      <c r="G148" s="35">
        <f t="shared" ca="1" si="19"/>
        <v>7.186525041348185E-7</v>
      </c>
    </row>
    <row r="149" spans="2:7" x14ac:dyDescent="0.2">
      <c r="B149" s="25">
        <f t="shared" ca="1" si="16"/>
        <v>4.9600000000000035</v>
      </c>
      <c r="C149" s="30">
        <f t="shared" ca="1" si="20"/>
        <v>0.66144176548849987</v>
      </c>
      <c r="D149" s="31">
        <f t="shared" ca="1" si="17"/>
        <v>2.2084846478152009E-3</v>
      </c>
      <c r="E149" s="32">
        <v>2.1215093601144753E-4</v>
      </c>
      <c r="F149" s="34">
        <f t="shared" ca="1" si="18"/>
        <v>0.78035994327803415</v>
      </c>
      <c r="G149" s="35">
        <f t="shared" ca="1" si="19"/>
        <v>3.656236714313188E-7</v>
      </c>
    </row>
    <row r="150" spans="2:7" ht="13.5" thickBot="1" x14ac:dyDescent="0.25">
      <c r="B150" s="36">
        <f t="shared" ca="1" si="16"/>
        <v>5.0000000000000036</v>
      </c>
      <c r="C150" s="37">
        <f t="shared" ca="1" si="20"/>
        <v>0.65924063020043944</v>
      </c>
      <c r="D150" s="38">
        <f t="shared" ca="1" si="17"/>
        <v>2.2011352880604296E-3</v>
      </c>
      <c r="E150" s="33">
        <v>2.12150936011451E-4</v>
      </c>
      <c r="F150" s="39">
        <f t="shared" ca="1" si="18"/>
        <v>0.77880078307140477</v>
      </c>
      <c r="G150" s="40">
        <f t="shared" ca="1" si="19"/>
        <v>3.6367886926604094E-7</v>
      </c>
    </row>
    <row r="151" spans="2:7" x14ac:dyDescent="0.2">
      <c r="B151" s="41"/>
      <c r="C151" s="42"/>
      <c r="D151" s="31"/>
      <c r="E151" s="43"/>
      <c r="F151" s="44"/>
      <c r="G151" s="45"/>
    </row>
    <row r="152" spans="2:7" x14ac:dyDescent="0.2">
      <c r="B152" s="41"/>
      <c r="C152" s="42"/>
      <c r="D152" s="31"/>
      <c r="E152" s="43"/>
      <c r="F152" s="44"/>
      <c r="G152" s="45"/>
    </row>
    <row r="153" spans="2:7" x14ac:dyDescent="0.2">
      <c r="B153" s="41"/>
      <c r="C153" s="42"/>
      <c r="D153" s="31"/>
      <c r="E153" s="43"/>
      <c r="F153" s="44"/>
      <c r="G153" s="45"/>
    </row>
    <row r="154" spans="2:7" x14ac:dyDescent="0.2">
      <c r="B154" s="41"/>
      <c r="C154" s="42"/>
      <c r="D154" s="31"/>
      <c r="E154" s="43"/>
      <c r="F154" s="44"/>
      <c r="G154" s="45"/>
    </row>
    <row r="155" spans="2:7" x14ac:dyDescent="0.2">
      <c r="B155" s="41"/>
      <c r="C155" s="42"/>
      <c r="D155" s="31"/>
      <c r="E155" s="43"/>
      <c r="F155" s="44"/>
      <c r="G155" s="45"/>
    </row>
    <row r="156" spans="2:7" x14ac:dyDescent="0.2">
      <c r="B156" s="41"/>
      <c r="C156" s="42"/>
      <c r="D156" s="31"/>
      <c r="E156" s="43"/>
      <c r="F156" s="44"/>
      <c r="G156" s="45"/>
    </row>
    <row r="157" spans="2:7" x14ac:dyDescent="0.2">
      <c r="B157" s="41"/>
      <c r="C157" s="42"/>
      <c r="D157" s="31"/>
      <c r="E157" s="43"/>
      <c r="F157" s="44"/>
      <c r="G157" s="45"/>
    </row>
    <row r="158" spans="2:7" x14ac:dyDescent="0.2">
      <c r="B158" s="41"/>
      <c r="C158" s="42"/>
      <c r="D158" s="31"/>
      <c r="E158" s="43"/>
      <c r="F158" s="44"/>
      <c r="G158" s="45"/>
    </row>
    <row r="159" spans="2:7" x14ac:dyDescent="0.2">
      <c r="B159" s="41"/>
      <c r="C159" s="42"/>
      <c r="D159" s="31"/>
      <c r="E159" s="43"/>
      <c r="F159" s="44"/>
      <c r="G159" s="45"/>
    </row>
    <row r="160" spans="2:7" x14ac:dyDescent="0.2">
      <c r="B160" s="41"/>
      <c r="C160" s="42"/>
      <c r="D160" s="31"/>
      <c r="E160" s="43"/>
      <c r="F160" s="44"/>
      <c r="G160" s="45"/>
    </row>
    <row r="161" spans="2:7" x14ac:dyDescent="0.2">
      <c r="B161" s="41"/>
      <c r="C161" s="42"/>
      <c r="D161" s="31"/>
      <c r="E161" s="43"/>
      <c r="F161" s="44"/>
      <c r="G161" s="45"/>
    </row>
    <row r="162" spans="2:7" x14ac:dyDescent="0.2">
      <c r="B162" s="41"/>
      <c r="C162" s="42"/>
      <c r="D162" s="31"/>
      <c r="E162" s="43"/>
      <c r="F162" s="44"/>
      <c r="G162" s="45"/>
    </row>
    <row r="163" spans="2:7" x14ac:dyDescent="0.2">
      <c r="B163" s="41"/>
      <c r="C163" s="42"/>
      <c r="D163" s="31"/>
      <c r="E163" s="43"/>
      <c r="F163" s="44"/>
      <c r="G163" s="45"/>
    </row>
    <row r="164" spans="2:7" x14ac:dyDescent="0.2">
      <c r="B164" s="41"/>
      <c r="C164" s="42"/>
      <c r="D164" s="31"/>
      <c r="E164" s="43"/>
      <c r="F164" s="44"/>
      <c r="G164" s="45"/>
    </row>
    <row r="165" spans="2:7" x14ac:dyDescent="0.2">
      <c r="B165" s="41"/>
      <c r="C165" s="42"/>
      <c r="D165" s="31"/>
      <c r="E165" s="43"/>
      <c r="F165" s="44"/>
      <c r="G165" s="45"/>
    </row>
    <row r="166" spans="2:7" x14ac:dyDescent="0.2">
      <c r="B166" s="41"/>
      <c r="C166" s="42"/>
      <c r="D166" s="31"/>
      <c r="E166" s="43"/>
      <c r="F166" s="44"/>
      <c r="G166" s="45"/>
    </row>
    <row r="167" spans="2:7" x14ac:dyDescent="0.2">
      <c r="B167" s="41"/>
      <c r="C167" s="42"/>
      <c r="D167" s="31"/>
      <c r="E167" s="43"/>
      <c r="F167" s="44"/>
      <c r="G167" s="45"/>
    </row>
    <row r="168" spans="2:7" x14ac:dyDescent="0.2">
      <c r="B168" s="41"/>
      <c r="C168" s="42"/>
      <c r="D168" s="31"/>
      <c r="E168" s="43"/>
      <c r="F168" s="44"/>
      <c r="G168" s="45"/>
    </row>
    <row r="169" spans="2:7" x14ac:dyDescent="0.2">
      <c r="B169" s="41"/>
      <c r="C169" s="42"/>
      <c r="D169" s="31"/>
      <c r="E169" s="43"/>
      <c r="F169" s="44"/>
      <c r="G169" s="45"/>
    </row>
    <row r="170" spans="2:7" x14ac:dyDescent="0.2">
      <c r="B170" s="41"/>
      <c r="C170" s="42"/>
      <c r="D170" s="31"/>
      <c r="E170" s="43"/>
      <c r="F170" s="44"/>
      <c r="G170" s="45"/>
    </row>
    <row r="171" spans="2:7" x14ac:dyDescent="0.2">
      <c r="B171" s="41"/>
      <c r="C171" s="42"/>
      <c r="D171" s="31"/>
      <c r="E171" s="43"/>
      <c r="F171" s="44"/>
      <c r="G171" s="45"/>
    </row>
    <row r="172" spans="2:7" x14ac:dyDescent="0.2">
      <c r="B172" s="41"/>
      <c r="C172" s="42"/>
      <c r="D172" s="31"/>
      <c r="E172" s="43"/>
      <c r="F172" s="44"/>
      <c r="G172" s="45"/>
    </row>
    <row r="173" spans="2:7" x14ac:dyDescent="0.2">
      <c r="B173" s="41"/>
      <c r="C173" s="42"/>
      <c r="D173" s="31"/>
      <c r="E173" s="43"/>
      <c r="F173" s="44"/>
      <c r="G173" s="45"/>
    </row>
    <row r="174" spans="2:7" x14ac:dyDescent="0.2">
      <c r="B174" s="41"/>
      <c r="C174" s="42"/>
      <c r="D174" s="31"/>
      <c r="E174" s="43"/>
      <c r="F174" s="44"/>
      <c r="G174" s="45"/>
    </row>
    <row r="175" spans="2:7" x14ac:dyDescent="0.2">
      <c r="B175" s="41"/>
      <c r="C175" s="42"/>
      <c r="D175" s="31"/>
      <c r="E175" s="43"/>
      <c r="F175" s="44"/>
      <c r="G175" s="45"/>
    </row>
    <row r="176" spans="2:7" x14ac:dyDescent="0.2">
      <c r="B176" s="41"/>
      <c r="C176" s="42"/>
      <c r="D176" s="31"/>
      <c r="E176" s="43"/>
      <c r="F176" s="44"/>
      <c r="G176" s="45"/>
    </row>
    <row r="177" spans="2:7" x14ac:dyDescent="0.2">
      <c r="B177" s="41"/>
      <c r="C177" s="42"/>
      <c r="D177" s="31"/>
      <c r="E177" s="43"/>
      <c r="F177" s="44"/>
      <c r="G177" s="45"/>
    </row>
    <row r="178" spans="2:7" x14ac:dyDescent="0.2">
      <c r="B178" s="41"/>
      <c r="C178" s="42"/>
      <c r="D178" s="31"/>
      <c r="E178" s="43"/>
      <c r="F178" s="44"/>
      <c r="G178" s="45"/>
    </row>
    <row r="179" spans="2:7" x14ac:dyDescent="0.2">
      <c r="B179" s="41"/>
      <c r="C179" s="42"/>
      <c r="D179" s="31"/>
      <c r="E179" s="43"/>
      <c r="F179" s="44"/>
      <c r="G179" s="45"/>
    </row>
    <row r="180" spans="2:7" x14ac:dyDescent="0.2">
      <c r="B180" s="41"/>
      <c r="C180" s="42"/>
      <c r="D180" s="31"/>
      <c r="E180" s="43"/>
      <c r="F180" s="44"/>
      <c r="G180" s="45"/>
    </row>
    <row r="181" spans="2:7" x14ac:dyDescent="0.2">
      <c r="B181" s="41"/>
      <c r="C181" s="42"/>
      <c r="D181" s="31"/>
      <c r="E181" s="43"/>
      <c r="F181" s="44"/>
      <c r="G181" s="45"/>
    </row>
    <row r="182" spans="2:7" x14ac:dyDescent="0.2">
      <c r="B182" s="41"/>
      <c r="C182" s="42"/>
      <c r="D182" s="31"/>
      <c r="E182" s="43"/>
      <c r="F182" s="44"/>
      <c r="G182" s="45"/>
    </row>
    <row r="183" spans="2:7" x14ac:dyDescent="0.2">
      <c r="B183" s="41"/>
      <c r="C183" s="42"/>
      <c r="D183" s="31"/>
      <c r="E183" s="43"/>
      <c r="F183" s="44"/>
      <c r="G183" s="45"/>
    </row>
    <row r="184" spans="2:7" x14ac:dyDescent="0.2">
      <c r="B184" s="41"/>
      <c r="C184" s="42"/>
      <c r="D184" s="31"/>
      <c r="E184" s="43"/>
      <c r="F184" s="44"/>
      <c r="G184" s="45"/>
    </row>
    <row r="185" spans="2:7" x14ac:dyDescent="0.2">
      <c r="B185" s="41"/>
      <c r="C185" s="42"/>
      <c r="D185" s="31"/>
      <c r="E185" s="43"/>
      <c r="F185" s="44"/>
      <c r="G185" s="45"/>
    </row>
    <row r="186" spans="2:7" x14ac:dyDescent="0.2">
      <c r="B186" s="41"/>
      <c r="C186" s="42"/>
      <c r="D186" s="31"/>
      <c r="E186" s="43"/>
      <c r="F186" s="44"/>
      <c r="G186" s="45"/>
    </row>
    <row r="187" spans="2:7" x14ac:dyDescent="0.2">
      <c r="B187" s="41"/>
      <c r="C187" s="42"/>
      <c r="D187" s="31"/>
      <c r="E187" s="43"/>
      <c r="F187" s="44"/>
      <c r="G187" s="45"/>
    </row>
    <row r="188" spans="2:7" x14ac:dyDescent="0.2">
      <c r="B188" s="41"/>
      <c r="C188" s="42"/>
      <c r="D188" s="31"/>
      <c r="E188" s="43"/>
      <c r="F188" s="44"/>
      <c r="G188" s="45"/>
    </row>
    <row r="189" spans="2:7" x14ac:dyDescent="0.2">
      <c r="B189" s="41"/>
      <c r="C189" s="42"/>
      <c r="D189" s="31"/>
      <c r="E189" s="43"/>
      <c r="F189" s="44"/>
      <c r="G189" s="45"/>
    </row>
    <row r="190" spans="2:7" x14ac:dyDescent="0.2">
      <c r="B190" s="41"/>
      <c r="C190" s="42"/>
      <c r="D190" s="31"/>
      <c r="E190" s="43"/>
      <c r="F190" s="44"/>
      <c r="G190" s="45"/>
    </row>
    <row r="191" spans="2:7" x14ac:dyDescent="0.2">
      <c r="B191" s="41"/>
      <c r="C191" s="42"/>
      <c r="D191" s="31"/>
      <c r="E191" s="43"/>
      <c r="F191" s="44"/>
      <c r="G191" s="45"/>
    </row>
    <row r="192" spans="2:7" x14ac:dyDescent="0.2">
      <c r="B192" s="41"/>
      <c r="C192" s="42"/>
      <c r="D192" s="31"/>
      <c r="E192" s="43"/>
      <c r="F192" s="44"/>
      <c r="G192" s="45"/>
    </row>
    <row r="193" spans="2:7" x14ac:dyDescent="0.2">
      <c r="B193" s="41"/>
      <c r="C193" s="42"/>
      <c r="D193" s="31"/>
      <c r="E193" s="43"/>
      <c r="F193" s="44"/>
      <c r="G193" s="45"/>
    </row>
    <row r="194" spans="2:7" x14ac:dyDescent="0.2">
      <c r="B194" s="41"/>
      <c r="C194" s="42"/>
      <c r="D194" s="31"/>
      <c r="E194" s="43"/>
      <c r="F194" s="44"/>
      <c r="G194" s="45"/>
    </row>
    <row r="195" spans="2:7" x14ac:dyDescent="0.2">
      <c r="B195" s="41"/>
      <c r="C195" s="42"/>
      <c r="D195" s="31"/>
      <c r="E195" s="43"/>
      <c r="F195" s="44"/>
      <c r="G195" s="45"/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151"/>
  <sheetViews>
    <sheetView showGridLines="0" workbookViewId="0">
      <pane ySplit="7" topLeftCell="A8" activePane="bottomLeft" state="frozen"/>
      <selection pane="bottomLeft" activeCell="A11" sqref="A11"/>
    </sheetView>
  </sheetViews>
  <sheetFormatPr defaultRowHeight="12.75" x14ac:dyDescent="0.2"/>
  <cols>
    <col min="2" max="2" width="17.7109375" customWidth="1"/>
    <col min="3" max="3" width="10.28515625" customWidth="1"/>
    <col min="8" max="8" width="8.85546875" bestFit="1" customWidth="1"/>
    <col min="10" max="10" width="11.140625" bestFit="1" customWidth="1"/>
    <col min="11" max="11" width="14.140625" bestFit="1" customWidth="1"/>
    <col min="15" max="15" width="10.85546875" customWidth="1"/>
    <col min="17" max="17" width="11.7109375" bestFit="1" customWidth="1"/>
    <col min="18" max="18" width="9.5703125" bestFit="1" customWidth="1"/>
  </cols>
  <sheetData>
    <row r="1" spans="2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20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0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0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0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20" ht="13.5" thickBot="1" x14ac:dyDescent="0.25"/>
    <row r="9" spans="2:20" ht="13.5" thickBot="1" x14ac:dyDescent="0.25">
      <c r="B9" s="77" t="s">
        <v>36</v>
      </c>
      <c r="C9" s="78"/>
      <c r="F9" s="11"/>
      <c r="G9" s="12" t="s">
        <v>21</v>
      </c>
      <c r="H9" s="24" t="s">
        <v>22</v>
      </c>
      <c r="I9" s="12" t="s">
        <v>23</v>
      </c>
      <c r="J9" s="24" t="s">
        <v>24</v>
      </c>
      <c r="K9" s="12" t="s">
        <v>25</v>
      </c>
      <c r="L9" s="24" t="s">
        <v>26</v>
      </c>
      <c r="M9" s="12" t="s">
        <v>28</v>
      </c>
      <c r="N9" s="24" t="s">
        <v>27</v>
      </c>
      <c r="O9" s="12" t="s">
        <v>30</v>
      </c>
      <c r="P9" s="24" t="s">
        <v>31</v>
      </c>
      <c r="Q9" s="12" t="s">
        <v>32</v>
      </c>
      <c r="R9" s="14" t="s">
        <v>33</v>
      </c>
    </row>
    <row r="10" spans="2:20" x14ac:dyDescent="0.2">
      <c r="B10" s="3" t="s">
        <v>13</v>
      </c>
      <c r="C10" s="70">
        <v>3.483E-2</v>
      </c>
      <c r="F10" s="25">
        <v>0</v>
      </c>
      <c r="G10" s="57">
        <v>1</v>
      </c>
      <c r="H10" s="51"/>
      <c r="I10" s="57"/>
      <c r="J10" s="50"/>
      <c r="K10" s="59"/>
      <c r="L10" s="9"/>
      <c r="M10" s="61"/>
      <c r="N10" s="9"/>
      <c r="O10" s="61"/>
      <c r="P10" s="52">
        <f ca="1">MAX(0, C28)</f>
        <v>0</v>
      </c>
      <c r="Q10" s="59">
        <v>1</v>
      </c>
      <c r="R10" s="49"/>
      <c r="T10" s="52"/>
    </row>
    <row r="11" spans="2:20" x14ac:dyDescent="0.2">
      <c r="B11" s="4" t="s">
        <v>29</v>
      </c>
      <c r="C11" s="71" t="s">
        <v>46</v>
      </c>
      <c r="F11" s="25">
        <v>0.05</v>
      </c>
      <c r="G11" s="57">
        <f t="shared" ref="G11:G30" ca="1" si="0">G10*EXP(-(F11-F10)*IRate1)</f>
        <v>0.99850112443771089</v>
      </c>
      <c r="H11" s="51">
        <f ca="1">-(LN(G11)-LN(G10))/(F11-F10)</f>
        <v>2.9999999999999777E-2</v>
      </c>
      <c r="I11" s="57">
        <f t="shared" ref="I11:I42" ca="1" si="1">IF(ABS(MOD(F11,PayFrac))&lt;0.000001,SwapRate*PayFrac,0)</f>
        <v>0</v>
      </c>
      <c r="J11" s="50">
        <f t="shared" ref="J11:J42" ca="1" si="2">IF(ABS(MOD(F11,RecFrac))&lt;0.000001,H11*RecFrac,0)</f>
        <v>0</v>
      </c>
      <c r="K11" s="59">
        <f ca="1">SwapRate*SUMPRODUCT(G12:$G$112,J12:$J$112)/SUMPRODUCT(G12:$G$112,I12:$I$112)</f>
        <v>3.4822311226557004E-2</v>
      </c>
      <c r="L11" s="50">
        <f t="shared" ref="L11:L42" ca="1" si="3">(LN(K11/SwapRate)+0.5*SwapRateVol^2*F11)/(SwapRateVol*SQRT(F11))</f>
        <v>2.4001491577037324E-2</v>
      </c>
      <c r="M11" s="57">
        <f t="shared" ref="M11:M42" ca="1" si="4">L11-SwapRateVol*SQRT(F11)</f>
        <v>-3.1900207860457414E-2</v>
      </c>
      <c r="N11" s="50">
        <f ca="1">SUM(G12:$G$112)/G11*0.05</f>
        <v>4.5628363389843178</v>
      </c>
      <c r="O11" s="59">
        <f t="shared" ref="O11:O42" ca="1" si="5">IF(PayRec="PAY",K11*NORMSDIST(L11)-SwapRate*NORMSDIST(M11),SwapRate*NORMSDIST(-M11)-K11*NORMSDIST(-L11))</f>
        <v>7.7273785126468625E-4</v>
      </c>
      <c r="P11" s="52">
        <f ca="1">O11*N11</f>
        <v>3.5258763482591692E-3</v>
      </c>
      <c r="Q11" s="59">
        <f t="shared" ref="Q11:Q42" ca="1" si="6">EXP(-F11*CDSPrem/10000/(1-Recovery))</f>
        <v>0.99584200184510996</v>
      </c>
      <c r="R11" s="49">
        <f ca="1">Q10-Q11</f>
        <v>4.1579981548900413E-3</v>
      </c>
      <c r="T11" s="52"/>
    </row>
    <row r="12" spans="2:20" x14ac:dyDescent="0.2">
      <c r="B12" s="4" t="s">
        <v>42</v>
      </c>
      <c r="C12" s="71" t="s">
        <v>41</v>
      </c>
      <c r="D12" s="63">
        <f ca="1">IF(PayFreq="A",1,IF(PayFreq="S",1/2,IF(PayFreq="Q",1/4,"ERROR")))</f>
        <v>0.5</v>
      </c>
      <c r="F12" s="25">
        <v>0.1</v>
      </c>
      <c r="G12" s="57">
        <f t="shared" ca="1" si="0"/>
        <v>0.997004495503373</v>
      </c>
      <c r="H12" s="51">
        <f ca="1">-(LN(G12)-LN(G11))/(F12-F11)</f>
        <v>2.9999999999999725E-2</v>
      </c>
      <c r="I12" s="57">
        <f t="shared" ca="1" si="1"/>
        <v>0</v>
      </c>
      <c r="J12" s="50">
        <f t="shared" ca="1" si="2"/>
        <v>0</v>
      </c>
      <c r="K12" s="59">
        <f ca="1">SwapRate*SUMPRODUCT(G13:$G$112,J13:$J$112)/SUMPRODUCT(G13:$G$112,I13:$I$112)</f>
        <v>3.4822311226557004E-2</v>
      </c>
      <c r="L12" s="50">
        <f t="shared" ca="1" si="3"/>
        <v>3.6735852828767263E-2</v>
      </c>
      <c r="M12" s="57">
        <f t="shared" ca="1" si="4"/>
        <v>-4.2321088675442223E-2</v>
      </c>
      <c r="N12" s="50">
        <f ca="1">SUM(G13:$G$112)/G12*0.05</f>
        <v>4.5196857292512336</v>
      </c>
      <c r="O12" s="59">
        <f t="shared" ca="1" si="5"/>
        <v>1.0942614945939344E-3</v>
      </c>
      <c r="P12" s="52">
        <f t="shared" ref="P12:P75" ca="1" si="7">O12*N12</f>
        <v>4.9457180611853311E-3</v>
      </c>
      <c r="Q12" s="59">
        <f t="shared" ca="1" si="6"/>
        <v>0.99170129263887596</v>
      </c>
      <c r="R12" s="49">
        <f ca="1">Q11-Q12</f>
        <v>4.1407092062339945E-3</v>
      </c>
      <c r="T12" s="52"/>
    </row>
    <row r="13" spans="2:20" ht="13.5" thickBot="1" x14ac:dyDescent="0.25">
      <c r="B13" s="5" t="s">
        <v>43</v>
      </c>
      <c r="C13" s="72" t="s">
        <v>41</v>
      </c>
      <c r="D13" s="63">
        <f ca="1">IF(RecFreq="A",1,IF(RecFreq="S",1/2,IF(RecFreq="Q",1/4,"ERROR")))</f>
        <v>0.5</v>
      </c>
      <c r="F13" s="25">
        <v>0.15</v>
      </c>
      <c r="G13" s="57">
        <f t="shared" ca="1" si="0"/>
        <v>0.99551010982957056</v>
      </c>
      <c r="H13" s="51">
        <f ca="1">-(LN(G13)-LN(G12))/(F13-F12)</f>
        <v>3.0000000000000821E-2</v>
      </c>
      <c r="I13" s="57">
        <f t="shared" ca="1" si="1"/>
        <v>0</v>
      </c>
      <c r="J13" s="50">
        <f t="shared" ca="1" si="2"/>
        <v>0</v>
      </c>
      <c r="K13" s="59">
        <f ca="1">SwapRate*SUMPRODUCT(G14:$G$112,J14:$J$112)/SUMPRODUCT(G14:$G$112,I14:$I$112)</f>
        <v>3.4822311226557004E-2</v>
      </c>
      <c r="L13" s="50">
        <f t="shared" ca="1" si="3"/>
        <v>4.6132128841350171E-2</v>
      </c>
      <c r="M13" s="57">
        <f t="shared" ca="1" si="4"/>
        <v>-5.0692454813835254E-2</v>
      </c>
      <c r="N13" s="50">
        <f ca="1">SUM(G14:$G$112)/G13*0.05</f>
        <v>4.4764703450348327</v>
      </c>
      <c r="O13" s="59">
        <f t="shared" ca="1" si="5"/>
        <v>1.3408783516848204E-3</v>
      </c>
      <c r="P13" s="52">
        <f t="shared" ca="1" si="7"/>
        <v>6.0024021776162858E-3</v>
      </c>
      <c r="Q13" s="59">
        <f t="shared" ca="1" si="6"/>
        <v>0.98757780049388144</v>
      </c>
      <c r="R13" s="49">
        <f t="shared" ref="R13:R76" ca="1" si="8">Q12-Q13</f>
        <v>4.1234921449945228E-3</v>
      </c>
      <c r="T13" s="52"/>
    </row>
    <row r="14" spans="2:20" ht="13.5" thickBot="1" x14ac:dyDescent="0.25">
      <c r="F14" s="25">
        <v>0.2</v>
      </c>
      <c r="G14" s="57">
        <f t="shared" ca="1" si="0"/>
        <v>0.99401796405393528</v>
      </c>
      <c r="H14" s="51">
        <f ca="1">-(LN(G14)-LN(G13))/(F14-F13)</f>
        <v>2.9999999999999426E-2</v>
      </c>
      <c r="I14" s="57">
        <f t="shared" ca="1" si="1"/>
        <v>0</v>
      </c>
      <c r="J14" s="50">
        <f t="shared" ca="1" si="2"/>
        <v>0</v>
      </c>
      <c r="K14" s="59">
        <f ca="1">SwapRate*SUMPRODUCT(G15:$G$112,J15:$J$112)/SUMPRODUCT(G15:$G$112,I15:$I$112)</f>
        <v>3.4822311226557004E-2</v>
      </c>
      <c r="L14" s="50">
        <f t="shared" ca="1" si="3"/>
        <v>5.3927020366639718E-2</v>
      </c>
      <c r="M14" s="57">
        <f t="shared" ca="1" si="4"/>
        <v>-5.7876378508349764E-2</v>
      </c>
      <c r="N14" s="50">
        <f ca="1">SUM(G15:$G$112)/G14*0.05</f>
        <v>4.4331900891004823</v>
      </c>
      <c r="O14" s="59">
        <f t="shared" ca="1" si="5"/>
        <v>1.5487045798954109E-3</v>
      </c>
      <c r="P14" s="52">
        <f t="shared" ca="1" si="7"/>
        <v>6.8657017945368617E-3</v>
      </c>
      <c r="Q14" s="59">
        <f t="shared" ca="1" si="6"/>
        <v>0.98347145382161749</v>
      </c>
      <c r="R14" s="49">
        <f t="shared" ca="1" si="8"/>
        <v>4.1063466722639497E-3</v>
      </c>
      <c r="T14" s="52"/>
    </row>
    <row r="15" spans="2:20" ht="13.5" thickBot="1" x14ac:dyDescent="0.25">
      <c r="B15" s="77" t="s">
        <v>15</v>
      </c>
      <c r="C15" s="78"/>
      <c r="E15" s="48"/>
      <c r="F15" s="25">
        <v>0.25</v>
      </c>
      <c r="G15" s="57">
        <f t="shared" ca="1" si="0"/>
        <v>0.99252805481913842</v>
      </c>
      <c r="H15" s="51">
        <f t="shared" ref="H15:H78" ca="1" si="9">-(LN(G15)-LN(G14))/(F15-F14)</f>
        <v>3.0000000000000519E-2</v>
      </c>
      <c r="I15" s="57">
        <f t="shared" ca="1" si="1"/>
        <v>0</v>
      </c>
      <c r="J15" s="50">
        <f t="shared" ca="1" si="2"/>
        <v>0</v>
      </c>
      <c r="K15" s="59">
        <f ca="1">SwapRate*SUMPRODUCT(G16:$G$112,J16:$J$112)/SUMPRODUCT(G16:$G$112,I16:$I$112)</f>
        <v>3.4822311226557004E-2</v>
      </c>
      <c r="L15" s="50">
        <f t="shared" ca="1" si="3"/>
        <v>6.0733793345528815E-2</v>
      </c>
      <c r="M15" s="57">
        <f t="shared" ca="1" si="4"/>
        <v>-6.4266206654471192E-2</v>
      </c>
      <c r="N15" s="50">
        <f ca="1">SUM(G16:$G$112)/G15*0.05</f>
        <v>4.3898448640675882</v>
      </c>
      <c r="O15" s="59">
        <f t="shared" ca="1" si="5"/>
        <v>1.7317315550684532E-3</v>
      </c>
      <c r="P15" s="52">
        <f t="shared" ca="1" si="7"/>
        <v>7.6020328729610271E-3</v>
      </c>
      <c r="Q15" s="59">
        <f t="shared" ca="1" si="6"/>
        <v>0.97938218133124011</v>
      </c>
      <c r="R15" s="49">
        <f t="shared" ca="1" si="8"/>
        <v>4.0892724903773825E-3</v>
      </c>
      <c r="T15" s="52"/>
    </row>
    <row r="16" spans="2:20" x14ac:dyDescent="0.2">
      <c r="B16" s="4" t="s">
        <v>16</v>
      </c>
      <c r="C16" s="73">
        <v>0.03</v>
      </c>
      <c r="F16" s="25">
        <v>0.3</v>
      </c>
      <c r="G16" s="57">
        <f t="shared" ca="1" si="0"/>
        <v>0.99104037877288365</v>
      </c>
      <c r="H16" s="51">
        <f t="shared" ca="1" si="9"/>
        <v>3.0000000000000068E-2</v>
      </c>
      <c r="I16" s="57">
        <f t="shared" ca="1" si="1"/>
        <v>0</v>
      </c>
      <c r="J16" s="50">
        <f t="shared" ca="1" si="2"/>
        <v>0</v>
      </c>
      <c r="K16" s="59">
        <f ca="1">SwapRate*SUMPRODUCT(G17:$G$112,J17:$J$112)/SUMPRODUCT(G17:$G$112,I17:$I$112)</f>
        <v>3.4822311226557004E-2</v>
      </c>
      <c r="L16" s="50">
        <f t="shared" ca="1" si="3"/>
        <v>6.6853000978363109E-2</v>
      </c>
      <c r="M16" s="57">
        <f t="shared" ca="1" si="4"/>
        <v>-7.007763839792841E-2</v>
      </c>
      <c r="N16" s="50">
        <f ca="1">SUM(G17:$G$112)/G16*0.05</f>
        <v>4.3464345724093754</v>
      </c>
      <c r="O16" s="59">
        <f t="shared" ca="1" si="5"/>
        <v>1.8971359084135227E-3</v>
      </c>
      <c r="P16" s="52">
        <f t="shared" ca="1" si="7"/>
        <v>8.2457771008878009E-3</v>
      </c>
      <c r="Q16" s="59">
        <f t="shared" ca="1" si="6"/>
        <v>0.97530991202833262</v>
      </c>
      <c r="R16" s="49">
        <f t="shared" ca="1" si="8"/>
        <v>4.0722693029074941E-3</v>
      </c>
      <c r="T16" s="52"/>
    </row>
    <row r="17" spans="2:20" x14ac:dyDescent="0.2">
      <c r="B17" s="4" t="s">
        <v>17</v>
      </c>
      <c r="C17" s="74">
        <v>3.2500000000000001E-2</v>
      </c>
      <c r="F17" s="25">
        <v>0.35</v>
      </c>
      <c r="G17" s="57">
        <f t="shared" ca="1" si="0"/>
        <v>0.98955493256789917</v>
      </c>
      <c r="H17" s="51">
        <f t="shared" ca="1" si="9"/>
        <v>3.0000000000000832E-2</v>
      </c>
      <c r="I17" s="57">
        <f t="shared" ca="1" si="1"/>
        <v>0</v>
      </c>
      <c r="J17" s="50">
        <f t="shared" ca="1" si="2"/>
        <v>0</v>
      </c>
      <c r="K17" s="59">
        <f ca="1">SwapRate*SUMPRODUCT(G18:$G$112,J18:$J$112)/SUMPRODUCT(G18:$G$112,I18:$I$112)</f>
        <v>3.4822311226557004E-2</v>
      </c>
      <c r="L17" s="50">
        <f t="shared" ca="1" si="3"/>
        <v>7.2458280219989069E-2</v>
      </c>
      <c r="M17" s="57">
        <f t="shared" ca="1" si="4"/>
        <v>-7.5443714357501329E-2</v>
      </c>
      <c r="N17" s="50">
        <f ca="1">SUM(G18:$G$112)/G17*0.05</f>
        <v>4.3029591164526702</v>
      </c>
      <c r="O17" s="59">
        <f t="shared" ca="1" si="5"/>
        <v>2.0491814687742388E-3</v>
      </c>
      <c r="P17" s="52">
        <f t="shared" ca="1" si="7"/>
        <v>8.817544082327983E-3</v>
      </c>
      <c r="Q17" s="59">
        <f t="shared" ca="1" si="6"/>
        <v>0.97125457521367287</v>
      </c>
      <c r="R17" s="49">
        <f t="shared" ca="1" si="8"/>
        <v>4.055336814659749E-3</v>
      </c>
      <c r="T17" s="52"/>
    </row>
    <row r="18" spans="2:20" x14ac:dyDescent="0.2">
      <c r="B18" s="4" t="s">
        <v>18</v>
      </c>
      <c r="C18" s="74">
        <v>3.5000000000000003E-2</v>
      </c>
      <c r="F18" s="25">
        <v>0.4</v>
      </c>
      <c r="G18" s="57">
        <f t="shared" ca="1" si="0"/>
        <v>0.98807171286193052</v>
      </c>
      <c r="H18" s="51">
        <f t="shared" ca="1" si="9"/>
        <v>2.999999999999927E-2</v>
      </c>
      <c r="I18" s="57">
        <f t="shared" ca="1" si="1"/>
        <v>0</v>
      </c>
      <c r="J18" s="50">
        <f t="shared" ca="1" si="2"/>
        <v>0</v>
      </c>
      <c r="K18" s="59">
        <f ca="1">SwapRate*SUMPRODUCT(G19:$G$112,J19:$J$112)/SUMPRODUCT(G19:$G$112,I19:$I$112)</f>
        <v>3.4822311226557004E-2</v>
      </c>
      <c r="L18" s="50">
        <f t="shared" ca="1" si="3"/>
        <v>7.7660632542540756E-2</v>
      </c>
      <c r="M18" s="57">
        <f t="shared" ca="1" si="4"/>
        <v>-8.0453250465878215E-2</v>
      </c>
      <c r="N18" s="50">
        <f ca="1">SUM(G19:$G$112)/G18*0.05</f>
        <v>4.2594183983776777</v>
      </c>
      <c r="O18" s="59">
        <f t="shared" ca="1" si="5"/>
        <v>2.190646730468343E-3</v>
      </c>
      <c r="P18" s="52">
        <f t="shared" ca="1" si="7"/>
        <v>9.330880988102766E-3</v>
      </c>
      <c r="Q18" s="59">
        <f t="shared" ca="1" si="6"/>
        <v>0.9672161004820059</v>
      </c>
      <c r="R18" s="49">
        <f t="shared" ca="1" si="8"/>
        <v>4.0384747316669634E-3</v>
      </c>
      <c r="T18" s="52"/>
    </row>
    <row r="19" spans="2:20" x14ac:dyDescent="0.2">
      <c r="B19" s="4" t="s">
        <v>19</v>
      </c>
      <c r="C19" s="74">
        <v>3.7499999999999999E-2</v>
      </c>
      <c r="F19" s="25">
        <v>0.45</v>
      </c>
      <c r="G19" s="57">
        <f t="shared" ca="1" si="0"/>
        <v>0.98659071631773265</v>
      </c>
      <c r="H19" s="51">
        <f t="shared" ca="1" si="9"/>
        <v>2.9999999999999201E-2</v>
      </c>
      <c r="I19" s="57">
        <f t="shared" ca="1" si="1"/>
        <v>0</v>
      </c>
      <c r="J19" s="50">
        <f t="shared" ca="1" si="2"/>
        <v>0</v>
      </c>
      <c r="K19" s="59">
        <f ca="1">SwapRate*SUMPRODUCT(G20:$G$112,J20:$J$112)/SUMPRODUCT(G20:$G$112,I20:$I$112)</f>
        <v>3.4822311226557004E-2</v>
      </c>
      <c r="L19" s="50">
        <f t="shared" ca="1" si="3"/>
        <v>8.2536096442338766E-2</v>
      </c>
      <c r="M19" s="57">
        <f t="shared" ca="1" si="4"/>
        <v>-8.5169001870145464E-2</v>
      </c>
      <c r="N19" s="50">
        <f ca="1">SUM(G20:$G$112)/G19*0.05</f>
        <v>4.215812320217764</v>
      </c>
      <c r="O19" s="59">
        <f t="shared" ca="1" si="5"/>
        <v>2.3234619003504597E-3</v>
      </c>
      <c r="P19" s="52">
        <f t="shared" ca="1" si="7"/>
        <v>9.7952793050540467E-3</v>
      </c>
      <c r="Q19" s="59">
        <f t="shared" ca="1" si="6"/>
        <v>0.96319441772082182</v>
      </c>
      <c r="R19" s="49">
        <f t="shared" ca="1" si="8"/>
        <v>4.0216827611840866E-3</v>
      </c>
      <c r="T19" s="52"/>
    </row>
    <row r="20" spans="2:20" ht="13.5" thickBot="1" x14ac:dyDescent="0.25">
      <c r="B20" s="5" t="s">
        <v>20</v>
      </c>
      <c r="C20" s="75">
        <v>0.04</v>
      </c>
      <c r="F20" s="25">
        <v>0.5</v>
      </c>
      <c r="G20" s="57">
        <f t="shared" ca="1" si="0"/>
        <v>0.98511193960306265</v>
      </c>
      <c r="H20" s="51">
        <f t="shared" ca="1" si="9"/>
        <v>3.0000000000000658E-2</v>
      </c>
      <c r="I20" s="57">
        <f t="shared" ca="1" si="1"/>
        <v>1.7415E-2</v>
      </c>
      <c r="J20" s="50">
        <f t="shared" ca="1" si="2"/>
        <v>1.5000000000000329E-2</v>
      </c>
      <c r="K20" s="59">
        <f ca="1">SwapRate*SUMPRODUCT(G21:$G$112,J21:$J$112)/SUMPRODUCT(G21:$G$112,I21:$I$112)</f>
        <v>3.5404859202803431E-2</v>
      </c>
      <c r="L20" s="50">
        <f t="shared" ca="1" si="3"/>
        <v>0.1809910062182338</v>
      </c>
      <c r="M20" s="57">
        <f t="shared" ca="1" si="4"/>
        <v>4.2143109215969088E-3</v>
      </c>
      <c r="N20" s="50">
        <f ca="1">SUM(G21:$G$112)/G20*0.05</f>
        <v>4.1721407838592359</v>
      </c>
      <c r="O20" s="59">
        <f t="shared" ca="1" si="5"/>
        <v>2.7713891570330385E-3</v>
      </c>
      <c r="P20" s="52">
        <f t="shared" ca="1" si="7"/>
        <v>1.1562625730002808E-2</v>
      </c>
      <c r="Q20" s="59">
        <f t="shared" ca="1" si="6"/>
        <v>0.95918945710913817</v>
      </c>
      <c r="R20" s="49">
        <f t="shared" ca="1" si="8"/>
        <v>4.00496061168365E-3</v>
      </c>
      <c r="T20" s="52"/>
    </row>
    <row r="21" spans="2:20" ht="13.5" thickBot="1" x14ac:dyDescent="0.25">
      <c r="F21" s="25">
        <v>0.55000000000000004</v>
      </c>
      <c r="G21" s="57">
        <f t="shared" ca="1" si="0"/>
        <v>0.98363537939067236</v>
      </c>
      <c r="H21" s="51">
        <f t="shared" ca="1" si="9"/>
        <v>3.0000000000000311E-2</v>
      </c>
      <c r="I21" s="57">
        <f t="shared" ca="1" si="1"/>
        <v>0</v>
      </c>
      <c r="J21" s="50">
        <f t="shared" ca="1" si="2"/>
        <v>0</v>
      </c>
      <c r="K21" s="59">
        <f ca="1">SwapRate*SUMPRODUCT(G22:$G$112,J22:$J$112)/SUMPRODUCT(G22:$G$112,I22:$I$112)</f>
        <v>3.5404859202803431E-2</v>
      </c>
      <c r="L21" s="50">
        <f t="shared" ca="1" si="3"/>
        <v>0.18099565169979281</v>
      </c>
      <c r="M21" s="57">
        <f t="shared" ca="1" si="4"/>
        <v>-4.4093104775987657E-3</v>
      </c>
      <c r="N21" s="50">
        <f ca="1">SUM(G22:$G$112)/G21*0.05</f>
        <v>4.1284036910411155</v>
      </c>
      <c r="O21" s="59">
        <f t="shared" ca="1" si="5"/>
        <v>2.8912799301743751E-3</v>
      </c>
      <c r="P21" s="52">
        <f t="shared" ca="1" si="7"/>
        <v>1.1936370735564989E-2</v>
      </c>
      <c r="Q21" s="59">
        <f t="shared" ca="1" si="6"/>
        <v>0.95520114911628839</v>
      </c>
      <c r="R21" s="49">
        <f t="shared" ca="1" si="8"/>
        <v>3.9883079928497711E-3</v>
      </c>
      <c r="T21" s="52"/>
    </row>
    <row r="22" spans="2:20" ht="13.5" thickBot="1" x14ac:dyDescent="0.25">
      <c r="B22" s="77" t="s">
        <v>39</v>
      </c>
      <c r="C22" s="78"/>
      <c r="F22" s="25">
        <v>0.6</v>
      </c>
      <c r="G22" s="57">
        <f t="shared" ca="1" si="0"/>
        <v>0.98216103235830066</v>
      </c>
      <c r="H22" s="51">
        <f t="shared" ca="1" si="9"/>
        <v>3.0000000000000623E-2</v>
      </c>
      <c r="I22" s="57">
        <f t="shared" ca="1" si="1"/>
        <v>0</v>
      </c>
      <c r="J22" s="50">
        <f t="shared" ca="1" si="2"/>
        <v>0</v>
      </c>
      <c r="K22" s="59">
        <f ca="1">SwapRate*SUMPRODUCT(G23:$G$112,J23:$J$112)/SUMPRODUCT(G23:$G$112,I23:$I$112)</f>
        <v>3.5404859202803431E-2</v>
      </c>
      <c r="L22" s="50">
        <f t="shared" ca="1" si="3"/>
        <v>0.18135885862800499</v>
      </c>
      <c r="M22" s="57">
        <f t="shared" ca="1" si="4"/>
        <v>-1.2290308682365858E-2</v>
      </c>
      <c r="N22" s="50">
        <f ca="1">SUM(G23:$G$112)/G22*0.05</f>
        <v>4.0846009433549275</v>
      </c>
      <c r="O22" s="59">
        <f t="shared" ca="1" si="5"/>
        <v>3.0058301607352282E-3</v>
      </c>
      <c r="P22" s="52">
        <f t="shared" ca="1" si="7"/>
        <v>1.2277616710103807E-2</v>
      </c>
      <c r="Q22" s="59">
        <f t="shared" ca="1" si="6"/>
        <v>0.95122942450071402</v>
      </c>
      <c r="R22" s="49">
        <f t="shared" ca="1" si="8"/>
        <v>3.9717246155743791E-3</v>
      </c>
      <c r="T22" s="52"/>
    </row>
    <row r="23" spans="2:20" x14ac:dyDescent="0.2">
      <c r="B23" s="3" t="s">
        <v>14</v>
      </c>
      <c r="C23" s="67">
        <v>0.25</v>
      </c>
      <c r="F23" s="25">
        <v>0.65</v>
      </c>
      <c r="G23" s="57">
        <f t="shared" ca="1" si="0"/>
        <v>0.9806888951886662</v>
      </c>
      <c r="H23" s="51">
        <f t="shared" ca="1" si="9"/>
        <v>2.9999999999998819E-2</v>
      </c>
      <c r="I23" s="57">
        <f t="shared" ca="1" si="1"/>
        <v>0</v>
      </c>
      <c r="J23" s="50">
        <f t="shared" ca="1" si="2"/>
        <v>0</v>
      </c>
      <c r="K23" s="59">
        <f ca="1">SwapRate*SUMPRODUCT(G24:$G$112,J24:$J$112)/SUMPRODUCT(G24:$G$112,I24:$I$112)</f>
        <v>3.5404859202803431E-2</v>
      </c>
      <c r="L23" s="50">
        <f t="shared" ca="1" si="3"/>
        <v>0.18199612616162691</v>
      </c>
      <c r="M23" s="57">
        <f t="shared" ca="1" si="4"/>
        <v>-1.9560317545836842E-2</v>
      </c>
      <c r="N23" s="50">
        <f ca="1">SUM(G24:$G$112)/G23*0.05</f>
        <v>4.0407324422444715</v>
      </c>
      <c r="O23" s="59">
        <f t="shared" ca="1" si="5"/>
        <v>3.1156888160629274E-3</v>
      </c>
      <c r="P23" s="52">
        <f t="shared" ca="1" si="7"/>
        <v>1.2589664879003738E-2</v>
      </c>
      <c r="Q23" s="59">
        <f t="shared" ca="1" si="6"/>
        <v>0.94727421430876291</v>
      </c>
      <c r="R23" s="49">
        <f t="shared" ca="1" si="8"/>
        <v>3.9552101919511085E-3</v>
      </c>
      <c r="T23" s="52"/>
    </row>
    <row r="24" spans="2:20" x14ac:dyDescent="0.2">
      <c r="B24" s="4" t="s">
        <v>34</v>
      </c>
      <c r="C24" s="76">
        <v>500</v>
      </c>
      <c r="F24" s="25">
        <v>0.7</v>
      </c>
      <c r="G24" s="57">
        <f t="shared" ca="1" si="0"/>
        <v>0.97921896456945956</v>
      </c>
      <c r="H24" s="51">
        <f t="shared" ca="1" si="9"/>
        <v>3.0000000000000554E-2</v>
      </c>
      <c r="I24" s="57">
        <f t="shared" ca="1" si="1"/>
        <v>0</v>
      </c>
      <c r="J24" s="50">
        <f t="shared" ca="1" si="2"/>
        <v>0</v>
      </c>
      <c r="K24" s="59">
        <f ca="1">SwapRate*SUMPRODUCT(G25:$G$112,J25:$J$112)/SUMPRODUCT(G25:$G$112,I25:$I$112)</f>
        <v>3.5404859202803431E-2</v>
      </c>
      <c r="L24" s="50">
        <f t="shared" ca="1" si="3"/>
        <v>0.18284603420629553</v>
      </c>
      <c r="M24" s="57">
        <f t="shared" ca="1" si="4"/>
        <v>-2.6318972427223364E-2</v>
      </c>
      <c r="N24" s="50">
        <f ca="1">SUM(G25:$G$112)/G24*0.05</f>
        <v>3.9967980890055999</v>
      </c>
      <c r="O24" s="59">
        <f t="shared" ca="1" si="5"/>
        <v>3.221382953858546E-3</v>
      </c>
      <c r="P24" s="52">
        <f t="shared" ca="1" si="7"/>
        <v>1.2875217233937052E-2</v>
      </c>
      <c r="Q24" s="59">
        <f t="shared" ca="1" si="6"/>
        <v>0.94333544987349216</v>
      </c>
      <c r="R24" s="49">
        <f t="shared" ca="1" si="8"/>
        <v>3.9387644352707474E-3</v>
      </c>
      <c r="T24" s="52"/>
    </row>
    <row r="25" spans="2:20" ht="13.5" thickBot="1" x14ac:dyDescent="0.25">
      <c r="B25" s="5" t="s">
        <v>35</v>
      </c>
      <c r="C25" s="68">
        <v>0.4</v>
      </c>
      <c r="F25" s="25">
        <v>0.75</v>
      </c>
      <c r="G25" s="57">
        <f t="shared" ca="1" si="0"/>
        <v>0.97775123719333634</v>
      </c>
      <c r="H25" s="51">
        <f t="shared" ca="1" si="9"/>
        <v>2.999999999999986E-2</v>
      </c>
      <c r="I25" s="57">
        <f t="shared" ca="1" si="1"/>
        <v>0</v>
      </c>
      <c r="J25" s="50">
        <f t="shared" ca="1" si="2"/>
        <v>0</v>
      </c>
      <c r="K25" s="59">
        <f ca="1">SwapRate*SUMPRODUCT(G26:$G$112,J26:$J$112)/SUMPRODUCT(G26:$G$112,I26:$I$112)</f>
        <v>3.5404859202803431E-2</v>
      </c>
      <c r="L25" s="50">
        <f t="shared" ca="1" si="3"/>
        <v>0.18386292958020833</v>
      </c>
      <c r="M25" s="57">
        <f t="shared" ca="1" si="4"/>
        <v>-3.2643421365901315E-2</v>
      </c>
      <c r="N25" s="50">
        <f ca="1">SUM(G26:$G$112)/G25*0.05</f>
        <v>3.9527977847860023</v>
      </c>
      <c r="O25" s="59">
        <f t="shared" ca="1" si="5"/>
        <v>3.3233475687706425E-3</v>
      </c>
      <c r="P25" s="52">
        <f t="shared" ca="1" si="7"/>
        <v>1.3136520907910542E-2</v>
      </c>
      <c r="Q25" s="59">
        <f t="shared" ca="1" si="6"/>
        <v>0.93941306281347581</v>
      </c>
      <c r="R25" s="49">
        <f t="shared" ca="1" si="8"/>
        <v>3.9223870600163524E-3</v>
      </c>
      <c r="T25" s="52"/>
    </row>
    <row r="26" spans="2:20" ht="13.5" thickBot="1" x14ac:dyDescent="0.25">
      <c r="F26" s="25">
        <v>0.8</v>
      </c>
      <c r="G26" s="57">
        <f t="shared" ca="1" si="0"/>
        <v>0.97628570975790929</v>
      </c>
      <c r="H26" s="51">
        <f t="shared" ca="1" si="9"/>
        <v>2.999999999999993E-2</v>
      </c>
      <c r="I26" s="57">
        <f t="shared" ca="1" si="1"/>
        <v>0</v>
      </c>
      <c r="J26" s="50">
        <f t="shared" ca="1" si="2"/>
        <v>0</v>
      </c>
      <c r="K26" s="59">
        <f ca="1">SwapRate*SUMPRODUCT(G27:$G$112,J27:$J$112)/SUMPRODUCT(G27:$G$112,I27:$I$112)</f>
        <v>3.5404859202803431E-2</v>
      </c>
      <c r="L26" s="50">
        <f t="shared" ca="1" si="3"/>
        <v>0.18501222849195031</v>
      </c>
      <c r="M26" s="57">
        <f t="shared" ca="1" si="4"/>
        <v>-3.8594569258028649E-2</v>
      </c>
      <c r="N26" s="50">
        <f ca="1">SUM(G27:$G$112)/G26*0.05</f>
        <v>3.9087314305849712</v>
      </c>
      <c r="O26" s="59">
        <f t="shared" ca="1" si="5"/>
        <v>3.4219466529430212E-3</v>
      </c>
      <c r="P26" s="52">
        <f t="shared" ca="1" si="7"/>
        <v>1.3375470436143429E-2</v>
      </c>
      <c r="Q26" s="59">
        <f t="shared" ca="1" si="6"/>
        <v>0.93550698503161778</v>
      </c>
      <c r="R26" s="49">
        <f t="shared" ca="1" si="8"/>
        <v>3.9060777818580306E-3</v>
      </c>
      <c r="T26" s="52"/>
    </row>
    <row r="27" spans="2:20" ht="13.5" thickBot="1" x14ac:dyDescent="0.25">
      <c r="B27" s="77" t="s">
        <v>40</v>
      </c>
      <c r="C27" s="78"/>
      <c r="F27" s="25">
        <v>0.85</v>
      </c>
      <c r="G27" s="57">
        <f t="shared" ca="1" si="0"/>
        <v>0.97482237896574109</v>
      </c>
      <c r="H27" s="51">
        <f t="shared" ca="1" si="9"/>
        <v>2.9999999999999652E-2</v>
      </c>
      <c r="I27" s="57">
        <f t="shared" ca="1" si="1"/>
        <v>0</v>
      </c>
      <c r="J27" s="50">
        <f t="shared" ca="1" si="2"/>
        <v>0</v>
      </c>
      <c r="K27" s="59">
        <f ca="1">SwapRate*SUMPRODUCT(G28:$G$112,J28:$J$112)/SUMPRODUCT(G28:$G$112,I28:$I$112)</f>
        <v>3.5404859202803431E-2</v>
      </c>
      <c r="L27" s="50">
        <f t="shared" ca="1" si="3"/>
        <v>0.18626730271347308</v>
      </c>
      <c r="M27" s="57">
        <f t="shared" ca="1" si="4"/>
        <v>-4.4221308718849106E-2</v>
      </c>
      <c r="N27" s="50">
        <f ca="1">SUM(G28:$G$112)/G27*0.05</f>
        <v>3.8645989272531942</v>
      </c>
      <c r="O27" s="59">
        <f t="shared" ca="1" si="5"/>
        <v>3.517488439002403E-3</v>
      </c>
      <c r="P27" s="52">
        <f t="shared" ca="1" si="7"/>
        <v>1.35936820479942E-2</v>
      </c>
      <c r="Q27" s="59">
        <f t="shared" ca="1" si="6"/>
        <v>0.9316171487139695</v>
      </c>
      <c r="R27" s="49">
        <f t="shared" ca="1" si="8"/>
        <v>3.8898363176482764E-3</v>
      </c>
      <c r="T27" s="52"/>
    </row>
    <row r="28" spans="2:20" x14ac:dyDescent="0.2">
      <c r="B28" s="3" t="s">
        <v>37</v>
      </c>
      <c r="C28" s="81">
        <f ca="1">(SUMPRODUCT(G11:G110,I11:I110)-SUMPRODUCT(G11:G110,J11:J110))*IF(PayRec="PAY",-1,1)</f>
        <v>-3.5137053381956163E-5</v>
      </c>
      <c r="F28" s="25">
        <v>0.9</v>
      </c>
      <c r="G28" s="57">
        <f t="shared" ca="1" si="0"/>
        <v>0.97336124152433678</v>
      </c>
      <c r="H28" s="51">
        <f t="shared" ca="1" si="9"/>
        <v>3.0000000000000068E-2</v>
      </c>
      <c r="I28" s="57">
        <f t="shared" ca="1" si="1"/>
        <v>0</v>
      </c>
      <c r="J28" s="50">
        <f t="shared" ca="1" si="2"/>
        <v>0</v>
      </c>
      <c r="K28" s="59">
        <f ca="1">SwapRate*SUMPRODUCT(G29:$G$112,J29:$J$112)/SUMPRODUCT(G29:$G$112,I29:$I$112)</f>
        <v>3.5404859202803431E-2</v>
      </c>
      <c r="L28" s="50">
        <f t="shared" ca="1" si="3"/>
        <v>0.18760735874282564</v>
      </c>
      <c r="M28" s="57">
        <f t="shared" ca="1" si="4"/>
        <v>-4.9563465769802806E-2</v>
      </c>
      <c r="N28" s="50">
        <f ca="1">SUM(G29:$G$112)/G28*0.05</f>
        <v>3.8204001754925203</v>
      </c>
      <c r="O28" s="59">
        <f t="shared" ca="1" si="5"/>
        <v>3.6102366768070333E-3</v>
      </c>
      <c r="P28" s="52">
        <f t="shared" ca="1" si="7"/>
        <v>1.3792548833643123E-2</v>
      </c>
      <c r="Q28" s="59">
        <f t="shared" ca="1" si="6"/>
        <v>0.92774348632855286</v>
      </c>
      <c r="R28" s="49">
        <f t="shared" ca="1" si="8"/>
        <v>3.873662385416643E-3</v>
      </c>
      <c r="T28" s="52"/>
    </row>
    <row r="29" spans="2:20" x14ac:dyDescent="0.2">
      <c r="B29" s="4" t="s">
        <v>9</v>
      </c>
      <c r="C29" s="83">
        <f ca="1">SUMPRODUCT(G11:G109,P11:P109,R11:R109)*(1-Recovery)</f>
        <v>2.4240541471368237E-3</v>
      </c>
      <c r="F29" s="25">
        <v>0.95</v>
      </c>
      <c r="G29" s="57">
        <f t="shared" ca="1" si="0"/>
        <v>0.9719022941461366</v>
      </c>
      <c r="H29" s="51">
        <f t="shared" ca="1" si="9"/>
        <v>2.9999999999999027E-2</v>
      </c>
      <c r="I29" s="57">
        <f t="shared" ca="1" si="1"/>
        <v>0</v>
      </c>
      <c r="J29" s="50">
        <f t="shared" ca="1" si="2"/>
        <v>0</v>
      </c>
      <c r="K29" s="59">
        <f ca="1">SwapRate*SUMPRODUCT(G30:$G$112,J30:$J$112)/SUMPRODUCT(G30:$G$112,I30:$I$112)</f>
        <v>3.5404859202803431E-2</v>
      </c>
      <c r="L29" s="50">
        <f t="shared" ca="1" si="3"/>
        <v>0.18901595879963198</v>
      </c>
      <c r="M29" s="57">
        <f t="shared" ca="1" si="4"/>
        <v>-5.46538998205921E-2</v>
      </c>
      <c r="N29" s="50">
        <f ca="1">SUM(G30:$G$112)/G29*0.05</f>
        <v>3.7761350758557373</v>
      </c>
      <c r="O29" s="59">
        <f t="shared" ca="1" si="5"/>
        <v>3.7004191368477657E-3</v>
      </c>
      <c r="P29" s="52">
        <f t="shared" ca="1" si="7"/>
        <v>1.3973282498018659E-2</v>
      </c>
      <c r="Q29" s="59">
        <f t="shared" ca="1" si="6"/>
        <v>0.92388593062418745</v>
      </c>
      <c r="R29" s="49">
        <f t="shared" ca="1" si="8"/>
        <v>3.8575557043654118E-3</v>
      </c>
      <c r="T29" s="52"/>
    </row>
    <row r="30" spans="2:20" ht="13.5" thickBot="1" x14ac:dyDescent="0.25">
      <c r="B30" s="5" t="s">
        <v>38</v>
      </c>
      <c r="C30" s="84">
        <f ca="1">C28-C29</f>
        <v>-2.4591912005187799E-3</v>
      </c>
      <c r="F30" s="25">
        <v>1</v>
      </c>
      <c r="G30" s="57">
        <f t="shared" ca="1" si="0"/>
        <v>0.97044553354850827</v>
      </c>
      <c r="H30" s="51">
        <f t="shared" ca="1" si="9"/>
        <v>2.9999999999999027E-2</v>
      </c>
      <c r="I30" s="57">
        <f t="shared" ca="1" si="1"/>
        <v>1.7415E-2</v>
      </c>
      <c r="J30" s="50">
        <f t="shared" ca="1" si="2"/>
        <v>1.4999999999999514E-2</v>
      </c>
      <c r="K30" s="59">
        <f ca="1">SwapRate*SUMPRODUCT(G31:$G$112,J31:$J$112)/SUMPRODUCT(G31:$G$112,I31:$I$112)</f>
        <v>3.6134942745517686E-2</v>
      </c>
      <c r="L30" s="50">
        <f t="shared" ca="1" si="3"/>
        <v>0.27212502358087981</v>
      </c>
      <c r="M30" s="57">
        <f t="shared" ca="1" si="4"/>
        <v>2.212502358087981E-2</v>
      </c>
      <c r="N30" s="50">
        <f ca="1">SUM(G31:$G$112)/G30*0.05</f>
        <v>3.731803528746354</v>
      </c>
      <c r="O30" s="59">
        <f t="shared" ca="1" si="5"/>
        <v>4.2200705740421812E-3</v>
      </c>
      <c r="P30" s="52">
        <f t="shared" ca="1" si="7"/>
        <v>1.5748474259769264E-2</v>
      </c>
      <c r="Q30" s="59">
        <f t="shared" ca="1" si="6"/>
        <v>0.92004441462932329</v>
      </c>
      <c r="R30" s="49">
        <f t="shared" ca="1" si="8"/>
        <v>3.8415159948641531E-3</v>
      </c>
      <c r="T30" s="52"/>
    </row>
    <row r="31" spans="2:20" x14ac:dyDescent="0.2">
      <c r="F31" s="25">
        <v>1.05</v>
      </c>
      <c r="G31" s="57">
        <f t="shared" ref="G31:G50" ca="1" si="10">G30*EXP(-(F31-F30)*IRate2)</f>
        <v>0.96886984015410949</v>
      </c>
      <c r="H31" s="51">
        <f t="shared" ca="1" si="9"/>
        <v>3.2500000000000001E-2</v>
      </c>
      <c r="I31" s="57">
        <f t="shared" ca="1" si="1"/>
        <v>0</v>
      </c>
      <c r="J31" s="50">
        <f t="shared" ca="1" si="2"/>
        <v>0</v>
      </c>
      <c r="K31" s="59">
        <f ca="1">SwapRate*SUMPRODUCT(G32:$G$112,J32:$J$112)/SUMPRODUCT(G32:$G$112,I32:$I$112)</f>
        <v>3.6134942745517686E-2</v>
      </c>
      <c r="L31" s="50">
        <f t="shared" ca="1" si="3"/>
        <v>0.27166620581963025</v>
      </c>
      <c r="M31" s="57">
        <f t="shared" ca="1" si="4"/>
        <v>1.5492436670640264E-2</v>
      </c>
      <c r="N31" s="50">
        <f ca="1">SUM(G32:$G$112)/G31*0.05</f>
        <v>3.6878726392973684</v>
      </c>
      <c r="O31" s="59">
        <f t="shared" ca="1" si="5"/>
        <v>4.3058407752051518E-3</v>
      </c>
      <c r="P31" s="52">
        <f t="shared" ca="1" si="7"/>
        <v>1.5879392384050051E-2</v>
      </c>
      <c r="Q31" s="59">
        <f t="shared" ca="1" si="6"/>
        <v>0.91621887165087768</v>
      </c>
      <c r="R31" s="49">
        <f t="shared" ca="1" si="8"/>
        <v>3.8255429784456174E-3</v>
      </c>
      <c r="T31" s="52"/>
    </row>
    <row r="32" spans="2:20" x14ac:dyDescent="0.2">
      <c r="F32" s="25">
        <v>1.1000000000000001</v>
      </c>
      <c r="G32" s="57">
        <f t="shared" ca="1" si="10"/>
        <v>0.96729670518219535</v>
      </c>
      <c r="H32" s="51">
        <f t="shared" ca="1" si="9"/>
        <v>3.2500000000000001E-2</v>
      </c>
      <c r="I32" s="57">
        <f t="shared" ca="1" si="1"/>
        <v>0</v>
      </c>
      <c r="J32" s="50">
        <f t="shared" ca="1" si="2"/>
        <v>0</v>
      </c>
      <c r="K32" s="59">
        <f ca="1">SwapRate*SUMPRODUCT(G33:$G$112,J33:$J$112)/SUMPRODUCT(G33:$G$112,I33:$I$112)</f>
        <v>3.6134942745517686E-2</v>
      </c>
      <c r="L32" s="50">
        <f t="shared" ca="1" si="3"/>
        <v>0.27137931194751341</v>
      </c>
      <c r="M32" s="57">
        <f t="shared" ca="1" si="4"/>
        <v>9.1770999049755053E-3</v>
      </c>
      <c r="N32" s="50">
        <f ca="1">SUM(G33:$G$112)/G32*0.05</f>
        <v>3.6438703041190958</v>
      </c>
      <c r="O32" s="59">
        <f t="shared" ca="1" si="5"/>
        <v>4.3896004534356541E-3</v>
      </c>
      <c r="P32" s="52">
        <f t="shared" ca="1" si="7"/>
        <v>1.5995134739221897E-2</v>
      </c>
      <c r="Q32" s="59">
        <f t="shared" ca="1" si="6"/>
        <v>0.91240923527307782</v>
      </c>
      <c r="R32" s="49">
        <f t="shared" ca="1" si="8"/>
        <v>3.8096363777998521E-3</v>
      </c>
      <c r="T32" s="52"/>
    </row>
    <row r="33" spans="6:20" x14ac:dyDescent="0.2">
      <c r="F33" s="25">
        <v>1.1499999999999999</v>
      </c>
      <c r="G33" s="57">
        <f t="shared" ca="1" si="10"/>
        <v>0.96572612447870543</v>
      </c>
      <c r="H33" s="51">
        <f t="shared" ca="1" si="9"/>
        <v>3.249999999999973E-2</v>
      </c>
      <c r="I33" s="57">
        <f t="shared" ca="1" si="1"/>
        <v>0</v>
      </c>
      <c r="J33" s="50">
        <f t="shared" ca="1" si="2"/>
        <v>0</v>
      </c>
      <c r="K33" s="59">
        <f ca="1">SwapRate*SUMPRODUCT(G34:$G$112,J34:$J$112)/SUMPRODUCT(G34:$G$112,I34:$I$112)</f>
        <v>3.6134942745517686E-2</v>
      </c>
      <c r="L33" s="50">
        <f t="shared" ca="1" si="3"/>
        <v>0.27124235808618508</v>
      </c>
      <c r="M33" s="57">
        <f t="shared" ca="1" si="4"/>
        <v>3.1472257170948592E-3</v>
      </c>
      <c r="N33" s="50">
        <f ca="1">SUM(G34:$G$112)/G33*0.05</f>
        <v>3.5997964070178434</v>
      </c>
      <c r="O33" s="59">
        <f t="shared" ca="1" si="5"/>
        <v>4.4714818491305847E-3</v>
      </c>
      <c r="P33" s="52">
        <f t="shared" ca="1" si="7"/>
        <v>1.6096424294545782E-2</v>
      </c>
      <c r="Q33" s="59">
        <f t="shared" ca="1" si="6"/>
        <v>0.90861543935630773</v>
      </c>
      <c r="R33" s="49">
        <f t="shared" ca="1" si="8"/>
        <v>3.793795916770093E-3</v>
      </c>
      <c r="T33" s="52"/>
    </row>
    <row r="34" spans="6:20" x14ac:dyDescent="0.2">
      <c r="F34" s="25">
        <v>1.2</v>
      </c>
      <c r="G34" s="57">
        <f t="shared" ca="1" si="10"/>
        <v>0.96415809389632412</v>
      </c>
      <c r="H34" s="51">
        <f t="shared" ca="1" si="9"/>
        <v>3.2499999999999446E-2</v>
      </c>
      <c r="I34" s="57">
        <f t="shared" ca="1" si="1"/>
        <v>0</v>
      </c>
      <c r="J34" s="50">
        <f t="shared" ca="1" si="2"/>
        <v>0</v>
      </c>
      <c r="K34" s="59">
        <f ca="1">SwapRate*SUMPRODUCT(G35:$G$112,J35:$J$112)/SUMPRODUCT(G35:$G$112,I35:$I$112)</f>
        <v>3.6134942745517686E-2</v>
      </c>
      <c r="L34" s="50">
        <f t="shared" ca="1" si="3"/>
        <v>0.27123679635750381</v>
      </c>
      <c r="M34" s="57">
        <f t="shared" ca="1" si="4"/>
        <v>-2.6244823950792306E-3</v>
      </c>
      <c r="N34" s="50">
        <f ca="1">SUM(G35:$G$112)/G34*0.05</f>
        <v>3.5556508316109507</v>
      </c>
      <c r="O34" s="59">
        <f t="shared" ca="1" si="5"/>
        <v>4.5516032598255061E-3</v>
      </c>
      <c r="P34" s="52">
        <f t="shared" ca="1" si="7"/>
        <v>1.6183911915961677E-2</v>
      </c>
      <c r="Q34" s="59">
        <f t="shared" ca="1" si="6"/>
        <v>0.90483741803595952</v>
      </c>
      <c r="R34" s="49">
        <f t="shared" ca="1" si="8"/>
        <v>3.7780213203482127E-3</v>
      </c>
      <c r="T34" s="52"/>
    </row>
    <row r="35" spans="6:20" x14ac:dyDescent="0.2">
      <c r="F35" s="25">
        <v>1.25</v>
      </c>
      <c r="G35" s="57">
        <f t="shared" ca="1" si="10"/>
        <v>0.96259260929446977</v>
      </c>
      <c r="H35" s="51">
        <f t="shared" ca="1" si="9"/>
        <v>3.2499999999999307E-2</v>
      </c>
      <c r="I35" s="57">
        <f t="shared" ca="1" si="1"/>
        <v>0</v>
      </c>
      <c r="J35" s="50">
        <f t="shared" ca="1" si="2"/>
        <v>0</v>
      </c>
      <c r="K35" s="59">
        <f ca="1">SwapRate*SUMPRODUCT(G36:$G$112,J36:$J$112)/SUMPRODUCT(G36:$G$112,I36:$I$112)</f>
        <v>3.6134942745517686E-2</v>
      </c>
      <c r="L35" s="50">
        <f t="shared" ca="1" si="3"/>
        <v>0.27134687016097958</v>
      </c>
      <c r="M35" s="57">
        <f t="shared" ca="1" si="4"/>
        <v>-8.1616270264941448E-3</v>
      </c>
      <c r="N35" s="50">
        <f ca="1">SUM(G36:$G$112)/G35*0.05</f>
        <v>3.5114334613264826</v>
      </c>
      <c r="O35" s="59">
        <f t="shared" ca="1" si="5"/>
        <v>4.6300710161488561E-3</v>
      </c>
      <c r="P35" s="52">
        <f t="shared" ca="1" si="7"/>
        <v>1.6258186294423001E-2</v>
      </c>
      <c r="Q35" s="59">
        <f t="shared" ca="1" si="6"/>
        <v>0.90107510572129057</v>
      </c>
      <c r="R35" s="49">
        <f t="shared" ca="1" si="8"/>
        <v>3.7623123146689474E-3</v>
      </c>
      <c r="T35" s="52"/>
    </row>
    <row r="36" spans="6:20" x14ac:dyDescent="0.2">
      <c r="F36" s="25">
        <v>1.3</v>
      </c>
      <c r="G36" s="57">
        <f t="shared" ca="1" si="10"/>
        <v>0.96102966653928368</v>
      </c>
      <c r="H36" s="51">
        <f t="shared" ca="1" si="9"/>
        <v>3.2499999999999168E-2</v>
      </c>
      <c r="I36" s="57">
        <f t="shared" ca="1" si="1"/>
        <v>0</v>
      </c>
      <c r="J36" s="50">
        <f t="shared" ca="1" si="2"/>
        <v>0</v>
      </c>
      <c r="K36" s="59">
        <f ca="1">SwapRate*SUMPRODUCT(G37:$G$112,J37:$J$112)/SUMPRODUCT(G37:$G$112,I37:$I$112)</f>
        <v>3.6134942745517686E-2</v>
      </c>
      <c r="L36" s="50">
        <f t="shared" ca="1" si="3"/>
        <v>0.27155910990973869</v>
      </c>
      <c r="M36" s="57">
        <f t="shared" ca="1" si="4"/>
        <v>-1.3484746365045819E-2</v>
      </c>
      <c r="N36" s="50">
        <f ca="1">SUM(G37:$G$112)/G36*0.05</f>
        <v>3.4671441794029203</v>
      </c>
      <c r="O36" s="59">
        <f t="shared" ca="1" si="5"/>
        <v>4.7069811116962346E-3</v>
      </c>
      <c r="P36" s="52">
        <f t="shared" ca="1" si="7"/>
        <v>1.6319782163977087E-2</v>
      </c>
      <c r="Q36" s="59">
        <f t="shared" ca="1" si="6"/>
        <v>0.89732843709428411</v>
      </c>
      <c r="R36" s="49">
        <f t="shared" ca="1" si="8"/>
        <v>3.7466686270064553E-3</v>
      </c>
      <c r="T36" s="52"/>
    </row>
    <row r="37" spans="6:20" x14ac:dyDescent="0.2">
      <c r="F37" s="25">
        <v>1.35</v>
      </c>
      <c r="G37" s="57">
        <f t="shared" ca="1" si="10"/>
        <v>0.95946926150361922</v>
      </c>
      <c r="H37" s="51">
        <f t="shared" ca="1" si="9"/>
        <v>3.2499999999999168E-2</v>
      </c>
      <c r="I37" s="57">
        <f t="shared" ca="1" si="1"/>
        <v>0</v>
      </c>
      <c r="J37" s="50">
        <f t="shared" ca="1" si="2"/>
        <v>0</v>
      </c>
      <c r="K37" s="59">
        <f ca="1">SwapRate*SUMPRODUCT(G38:$G$112,J38:$J$112)/SUMPRODUCT(G38:$G$112,I38:$I$112)</f>
        <v>3.6134942745517686E-2</v>
      </c>
      <c r="L37" s="50">
        <f t="shared" ca="1" si="3"/>
        <v>0.27186193462480501</v>
      </c>
      <c r="M37" s="57">
        <f t="shared" ca="1" si="4"/>
        <v>-1.8611816340751264E-2</v>
      </c>
      <c r="N37" s="50">
        <f ca="1">SUM(G38:$G$112)/G37*0.05</f>
        <v>3.4227828688888509</v>
      </c>
      <c r="O37" s="59">
        <f t="shared" ca="1" si="5"/>
        <v>4.7824205581368656E-3</v>
      </c>
      <c r="P37" s="52">
        <f t="shared" ca="1" si="7"/>
        <v>1.6369187158212721E-2</v>
      </c>
      <c r="Q37" s="59">
        <f t="shared" ca="1" si="6"/>
        <v>0.89359734710851568</v>
      </c>
      <c r="R37" s="49">
        <f t="shared" ca="1" si="8"/>
        <v>3.7310899857684321E-3</v>
      </c>
      <c r="T37" s="52"/>
    </row>
    <row r="38" spans="6:20" x14ac:dyDescent="0.2">
      <c r="F38" s="25">
        <v>1.4</v>
      </c>
      <c r="G38" s="57">
        <f t="shared" ca="1" si="10"/>
        <v>0.95791139006703097</v>
      </c>
      <c r="H38" s="51">
        <f t="shared" ca="1" si="9"/>
        <v>3.2499999999998898E-2</v>
      </c>
      <c r="I38" s="57">
        <f t="shared" ca="1" si="1"/>
        <v>0</v>
      </c>
      <c r="J38" s="50">
        <f t="shared" ca="1" si="2"/>
        <v>0</v>
      </c>
      <c r="K38" s="59">
        <f ca="1">SwapRate*SUMPRODUCT(G39:$G$112,J39:$J$112)/SUMPRODUCT(G39:$G$112,I39:$I$112)</f>
        <v>3.6134942745517686E-2</v>
      </c>
      <c r="L38" s="50">
        <f t="shared" ca="1" si="3"/>
        <v>0.27224533423390429</v>
      </c>
      <c r="M38" s="57">
        <f t="shared" ca="1" si="4"/>
        <v>-2.3558654921076505E-2</v>
      </c>
      <c r="N38" s="50">
        <f ca="1">SUM(G39:$G$112)/G38*0.05</f>
        <v>3.3783494126426663</v>
      </c>
      <c r="O38" s="59">
        <f t="shared" ca="1" si="5"/>
        <v>4.8564685201255321E-3</v>
      </c>
      <c r="P38" s="52">
        <f t="shared" ca="1" si="7"/>
        <v>1.6406847572483691E-2</v>
      </c>
      <c r="Q38" s="59">
        <f t="shared" ca="1" si="6"/>
        <v>0.88988177098802379</v>
      </c>
      <c r="R38" s="49">
        <f t="shared" ca="1" si="8"/>
        <v>3.7155761204918925E-3</v>
      </c>
      <c r="T38" s="52"/>
    </row>
    <row r="39" spans="6:20" x14ac:dyDescent="0.2">
      <c r="F39" s="25">
        <v>1.45</v>
      </c>
      <c r="G39" s="57">
        <f t="shared" ca="1" si="10"/>
        <v>0.95635604811576369</v>
      </c>
      <c r="H39" s="51">
        <f t="shared" ca="1" si="9"/>
        <v>3.2499999999999446E-2</v>
      </c>
      <c r="I39" s="57">
        <f t="shared" ca="1" si="1"/>
        <v>0</v>
      </c>
      <c r="J39" s="50">
        <f t="shared" ca="1" si="2"/>
        <v>0</v>
      </c>
      <c r="K39" s="59">
        <f ca="1">SwapRate*SUMPRODUCT(G40:$G$112,J40:$J$112)/SUMPRODUCT(G40:$G$112,I40:$I$112)</f>
        <v>3.6134942745517686E-2</v>
      </c>
      <c r="L39" s="50">
        <f t="shared" ca="1" si="3"/>
        <v>0.2727006140525734</v>
      </c>
      <c r="M39" s="57">
        <f t="shared" ca="1" si="4"/>
        <v>-2.8339250417234008E-2</v>
      </c>
      <c r="N39" s="50">
        <f ca="1">SUM(G40:$G$112)/G39*0.05</f>
        <v>3.3338436933322431</v>
      </c>
      <c r="O39" s="59">
        <f t="shared" ca="1" si="5"/>
        <v>4.9291972722294852E-3</v>
      </c>
      <c r="P39" s="52">
        <f t="shared" ca="1" si="7"/>
        <v>1.6433173239212766E-2</v>
      </c>
      <c r="Q39" s="59">
        <f t="shared" ca="1" si="6"/>
        <v>0.88618164422618528</v>
      </c>
      <c r="R39" s="49">
        <f t="shared" ca="1" si="8"/>
        <v>3.700126761838507E-3</v>
      </c>
      <c r="T39" s="52"/>
    </row>
    <row r="40" spans="6:20" x14ac:dyDescent="0.2">
      <c r="F40" s="25">
        <v>1.5</v>
      </c>
      <c r="G40" s="57">
        <f t="shared" ca="1" si="10"/>
        <v>0.95480323154274171</v>
      </c>
      <c r="H40" s="51">
        <f t="shared" ca="1" si="9"/>
        <v>3.2499999999998891E-2</v>
      </c>
      <c r="I40" s="57">
        <f t="shared" ca="1" si="1"/>
        <v>1.7415E-2</v>
      </c>
      <c r="J40" s="50">
        <f t="shared" ca="1" si="2"/>
        <v>1.6249999999999445E-2</v>
      </c>
      <c r="K40" s="59">
        <f ca="1">SwapRate*SUMPRODUCT(G41:$G$112,J41:$J$112)/SUMPRODUCT(G41:$G$112,I41:$I$112)</f>
        <v>3.6692077412022232E-2</v>
      </c>
      <c r="L40" s="50">
        <f t="shared" ca="1" si="3"/>
        <v>0.32319146740868793</v>
      </c>
      <c r="M40" s="57">
        <f t="shared" ca="1" si="4"/>
        <v>1.7005249560790692E-2</v>
      </c>
      <c r="N40" s="50">
        <f ca="1">SUM(G41:$G$112)/G40*0.05</f>
        <v>3.2892655934346404</v>
      </c>
      <c r="O40" s="59">
        <f t="shared" ca="1" si="5"/>
        <v>5.3445584981073324E-3</v>
      </c>
      <c r="P40" s="52">
        <f t="shared" ca="1" si="7"/>
        <v>1.7579672379923167E-2</v>
      </c>
      <c r="Q40" s="59">
        <f t="shared" ca="1" si="6"/>
        <v>0.88249690258459546</v>
      </c>
      <c r="R40" s="49">
        <f t="shared" ca="1" si="8"/>
        <v>3.6847416415898282E-3</v>
      </c>
      <c r="T40" s="52"/>
    </row>
    <row r="41" spans="6:20" x14ac:dyDescent="0.2">
      <c r="F41" s="25">
        <v>1.55</v>
      </c>
      <c r="G41" s="57">
        <f t="shared" ca="1" si="10"/>
        <v>0.9532529362475578</v>
      </c>
      <c r="H41" s="51">
        <f t="shared" ca="1" si="9"/>
        <v>3.2499999999999724E-2</v>
      </c>
      <c r="I41" s="57">
        <f t="shared" ca="1" si="1"/>
        <v>0</v>
      </c>
      <c r="J41" s="50">
        <f t="shared" ca="1" si="2"/>
        <v>0</v>
      </c>
      <c r="K41" s="59">
        <f ca="1">SwapRate*SUMPRODUCT(G42:$G$112,J42:$J$112)/SUMPRODUCT(G42:$G$112,I42:$I$112)</f>
        <v>3.6692077412022232E-2</v>
      </c>
      <c r="L41" s="50">
        <f t="shared" ca="1" si="3"/>
        <v>0.32295609215295806</v>
      </c>
      <c r="M41" s="57">
        <f t="shared" ca="1" si="4"/>
        <v>1.1708602203239771E-2</v>
      </c>
      <c r="N41" s="50">
        <f ca="1">SUM(G42:$G$112)/G41*0.05</f>
        <v>3.2446149952357879</v>
      </c>
      <c r="O41" s="59">
        <f t="shared" ca="1" si="5"/>
        <v>5.4148783597299521E-3</v>
      </c>
      <c r="P41" s="52">
        <f t="shared" ca="1" si="7"/>
        <v>1.7569195523357568E-2</v>
      </c>
      <c r="Q41" s="59">
        <f t="shared" ca="1" si="6"/>
        <v>0.87882748209195249</v>
      </c>
      <c r="R41" s="49">
        <f t="shared" ca="1" si="8"/>
        <v>3.6694204926429608E-3</v>
      </c>
      <c r="T41" s="52"/>
    </row>
    <row r="42" spans="6:20" x14ac:dyDescent="0.2">
      <c r="F42" s="25">
        <v>1.6</v>
      </c>
      <c r="G42" s="57">
        <f t="shared" ca="1" si="10"/>
        <v>0.95170515813646261</v>
      </c>
      <c r="H42" s="51">
        <f t="shared" ca="1" si="9"/>
        <v>3.249999999999903E-2</v>
      </c>
      <c r="I42" s="57">
        <f t="shared" ca="1" si="1"/>
        <v>0</v>
      </c>
      <c r="J42" s="50">
        <f t="shared" ca="1" si="2"/>
        <v>0</v>
      </c>
      <c r="K42" s="59">
        <f ca="1">SwapRate*SUMPRODUCT(G43:$G$112,J43:$J$112)/SUMPRODUCT(G43:$G$112,I43:$I$112)</f>
        <v>3.6692077412022232E-2</v>
      </c>
      <c r="L42" s="50">
        <f t="shared" ca="1" si="3"/>
        <v>0.32281091041557258</v>
      </c>
      <c r="M42" s="57">
        <f t="shared" ca="1" si="4"/>
        <v>6.5831443987346416E-3</v>
      </c>
      <c r="N42" s="50">
        <f ca="1">SUM(G43:$G$112)/G42*0.05</f>
        <v>3.1998917808301739</v>
      </c>
      <c r="O42" s="59">
        <f t="shared" ca="1" si="5"/>
        <v>5.4840771251421887E-3</v>
      </c>
      <c r="P42" s="52">
        <f t="shared" ca="1" si="7"/>
        <v>1.7548453318181258E-2</v>
      </c>
      <c r="Q42" s="59">
        <f t="shared" ca="1" si="6"/>
        <v>0.87517331904294748</v>
      </c>
      <c r="R42" s="49">
        <f t="shared" ca="1" si="8"/>
        <v>3.6541630490050103E-3</v>
      </c>
      <c r="T42" s="52"/>
    </row>
    <row r="43" spans="6:20" x14ac:dyDescent="0.2">
      <c r="F43" s="25">
        <v>1.65</v>
      </c>
      <c r="G43" s="57">
        <f t="shared" ca="1" si="10"/>
        <v>0.9501598931223536</v>
      </c>
      <c r="H43" s="51">
        <f t="shared" ca="1" si="9"/>
        <v>3.2499999999999869E-2</v>
      </c>
      <c r="I43" s="57">
        <f t="shared" ref="I43:I74" ca="1" si="11">IF(ABS(MOD(F43,PayFrac))&lt;0.000001,SwapRate*PayFrac,0)</f>
        <v>0</v>
      </c>
      <c r="J43" s="50">
        <f t="shared" ref="J43:J74" ca="1" si="12">IF(ABS(MOD(F43,RecFrac))&lt;0.000001,H43*RecFrac,0)</f>
        <v>0</v>
      </c>
      <c r="K43" s="59">
        <f ca="1">SwapRate*SUMPRODUCT(G44:$G$112,J44:$J$112)/SUMPRODUCT(G44:$G$112,I44:$I$112)</f>
        <v>3.6692077412022232E-2</v>
      </c>
      <c r="L43" s="50">
        <f t="shared" ref="L43:L74" ca="1" si="13">(LN(K43/SwapRate)+0.5*SwapRateVol^2*F43)/(SwapRateVol*SQRT(F43))</f>
        <v>0.32274782854059864</v>
      </c>
      <c r="M43" s="57">
        <f t="shared" ref="M43:M74" ca="1" si="14">L43-SwapRateVol*SQRT(F43)</f>
        <v>1.6170140739704131E-3</v>
      </c>
      <c r="N43" s="50">
        <f ca="1">SUM(G44:$G$112)/G43*0.05</f>
        <v>3.1550958321205336</v>
      </c>
      <c r="O43" s="59">
        <f t="shared" ref="O43:O74" ca="1" si="15">IF(PayRec="PAY",K43*NORMSDIST(L43)-SwapRate*NORMSDIST(M43),SwapRate*NORMSDIST(-M43)-K43*NORMSDIST(-L43))</f>
        <v>5.5522051251607994E-3</v>
      </c>
      <c r="P43" s="52">
        <f t="shared" ca="1" si="7"/>
        <v>1.7517739249473103E-2</v>
      </c>
      <c r="Q43" s="59">
        <f t="shared" ref="Q43:Q74" ca="1" si="16">EXP(-F43*CDSPrem/10000/(1-Recovery))</f>
        <v>0.87153434999715784</v>
      </c>
      <c r="R43" s="49">
        <f t="shared" ca="1" si="8"/>
        <v>3.6389690457896418E-3</v>
      </c>
      <c r="T43" s="52"/>
    </row>
    <row r="44" spans="6:20" x14ac:dyDescent="0.2">
      <c r="F44" s="25">
        <v>1.7</v>
      </c>
      <c r="G44" s="57">
        <f t="shared" ca="1" si="10"/>
        <v>0.94861713712476448</v>
      </c>
      <c r="H44" s="51">
        <f t="shared" ca="1" si="9"/>
        <v>3.2500000000000001E-2</v>
      </c>
      <c r="I44" s="57">
        <f t="shared" ca="1" si="11"/>
        <v>0</v>
      </c>
      <c r="J44" s="50">
        <f t="shared" ca="1" si="12"/>
        <v>0</v>
      </c>
      <c r="K44" s="59">
        <f ca="1">SwapRate*SUMPRODUCT(G45:$G$112,J45:$J$112)/SUMPRODUCT(G45:$G$112,I45:$I$112)</f>
        <v>3.6692077412022232E-2</v>
      </c>
      <c r="L44" s="50">
        <f t="shared" ca="1" si="13"/>
        <v>0.32275964606534646</v>
      </c>
      <c r="M44" s="57">
        <f t="shared" ca="1" si="14"/>
        <v>-3.2004741947859738E-3</v>
      </c>
      <c r="N44" s="50">
        <f ca="1">SUM(G45:$G$112)/G44*0.05</f>
        <v>3.1102270308175402</v>
      </c>
      <c r="O44" s="59">
        <f t="shared" ca="1" si="15"/>
        <v>5.6193090138070001E-3</v>
      </c>
      <c r="P44" s="52">
        <f t="shared" ca="1" si="7"/>
        <v>1.7477326789259187E-2</v>
      </c>
      <c r="Q44" s="59">
        <f t="shared" ca="1" si="16"/>
        <v>0.86791051177794631</v>
      </c>
      <c r="R44" s="49">
        <f t="shared" ca="1" si="8"/>
        <v>3.6238382192115282E-3</v>
      </c>
      <c r="T44" s="52"/>
    </row>
    <row r="45" spans="6:20" x14ac:dyDescent="0.2">
      <c r="F45" s="25">
        <v>1.75</v>
      </c>
      <c r="G45" s="57">
        <f t="shared" ca="1" si="10"/>
        <v>0.9470768860698543</v>
      </c>
      <c r="H45" s="51">
        <f t="shared" ca="1" si="9"/>
        <v>3.2499999999999862E-2</v>
      </c>
      <c r="I45" s="57">
        <f t="shared" ca="1" si="11"/>
        <v>0</v>
      </c>
      <c r="J45" s="50">
        <f t="shared" ca="1" si="12"/>
        <v>0</v>
      </c>
      <c r="K45" s="59">
        <f ca="1">SwapRate*SUMPRODUCT(G46:$G$112,J46:$J$112)/SUMPRODUCT(G46:$G$112,I46:$I$112)</f>
        <v>3.6692077412022232E-2</v>
      </c>
      <c r="L45" s="50">
        <f t="shared" ca="1" si="13"/>
        <v>0.32283993616502543</v>
      </c>
      <c r="M45" s="57">
        <f t="shared" ca="1" si="14"/>
        <v>-7.8789777180484077E-3</v>
      </c>
      <c r="N45" s="50">
        <f ca="1">SUM(G46:$G$112)/G45*0.05</f>
        <v>3.0652852584394883</v>
      </c>
      <c r="O45" s="59">
        <f t="shared" ca="1" si="15"/>
        <v>5.6854321338683789E-3</v>
      </c>
      <c r="P45" s="52">
        <f t="shared" ca="1" si="7"/>
        <v>1.7427471307804906E-2</v>
      </c>
      <c r="Q45" s="59">
        <f t="shared" ca="1" si="16"/>
        <v>0.86430174147136396</v>
      </c>
      <c r="R45" s="49">
        <f t="shared" ca="1" si="8"/>
        <v>3.608770306582354E-3</v>
      </c>
      <c r="T45" s="52"/>
    </row>
    <row r="46" spans="6:20" x14ac:dyDescent="0.2">
      <c r="F46" s="25">
        <v>1.8</v>
      </c>
      <c r="G46" s="57">
        <f t="shared" ca="1" si="10"/>
        <v>0.94553913589039673</v>
      </c>
      <c r="H46" s="51">
        <f t="shared" ca="1" si="9"/>
        <v>3.2499999999999446E-2</v>
      </c>
      <c r="I46" s="57">
        <f t="shared" ca="1" si="11"/>
        <v>0</v>
      </c>
      <c r="J46" s="50">
        <f t="shared" ca="1" si="12"/>
        <v>0</v>
      </c>
      <c r="K46" s="59">
        <f ca="1">SwapRate*SUMPRODUCT(G47:$G$112,J47:$J$112)/SUMPRODUCT(G47:$G$112,I47:$I$112)</f>
        <v>3.6692077412022232E-2</v>
      </c>
      <c r="L46" s="50">
        <f t="shared" ca="1" si="13"/>
        <v>0.32298294487363755</v>
      </c>
      <c r="M46" s="57">
        <f t="shared" ca="1" si="14"/>
        <v>-1.2427251751330914E-2</v>
      </c>
      <c r="N46" s="50">
        <f ca="1">SUM(G47:$G$112)/G46*0.05</f>
        <v>3.0202703963119841</v>
      </c>
      <c r="O46" s="59">
        <f t="shared" ca="1" si="15"/>
        <v>5.750614837025797E-3</v>
      </c>
      <c r="P46" s="52">
        <f t="shared" ca="1" si="7"/>
        <v>1.7368411752861478E-2</v>
      </c>
      <c r="Q46" s="59">
        <f t="shared" ca="1" si="16"/>
        <v>0.86070797642505781</v>
      </c>
      <c r="R46" s="49">
        <f t="shared" ca="1" si="8"/>
        <v>3.5937650463061521E-3</v>
      </c>
      <c r="T46" s="52"/>
    </row>
    <row r="47" spans="6:20" x14ac:dyDescent="0.2">
      <c r="F47" s="25">
        <v>1.85</v>
      </c>
      <c r="G47" s="57">
        <f t="shared" ca="1" si="10"/>
        <v>0.94400388252576928</v>
      </c>
      <c r="H47" s="51">
        <f t="shared" ca="1" si="9"/>
        <v>3.250000000000014E-2</v>
      </c>
      <c r="I47" s="57">
        <f t="shared" ca="1" si="11"/>
        <v>0</v>
      </c>
      <c r="J47" s="50">
        <f t="shared" ca="1" si="12"/>
        <v>0</v>
      </c>
      <c r="K47" s="59">
        <f ca="1">SwapRate*SUMPRODUCT(G48:$G$112,J48:$J$112)/SUMPRODUCT(G48:$G$112,I48:$I$112)</f>
        <v>3.6692077412022232E-2</v>
      </c>
      <c r="L47" s="50">
        <f t="shared" ca="1" si="13"/>
        <v>0.32318350571285465</v>
      </c>
      <c r="M47" s="57">
        <f t="shared" ca="1" si="14"/>
        <v>-1.6853257005531419E-2</v>
      </c>
      <c r="N47" s="50">
        <f ca="1">SUM(G48:$G$112)/G47*0.05</f>
        <v>2.9751823255676308</v>
      </c>
      <c r="O47" s="59">
        <f t="shared" ca="1" si="15"/>
        <v>5.8148947652600334E-3</v>
      </c>
      <c r="P47" s="52">
        <f t="shared" ca="1" si="7"/>
        <v>1.7300372130637388E-2</v>
      </c>
      <c r="Q47" s="59">
        <f t="shared" ca="1" si="16"/>
        <v>0.85712915424718328</v>
      </c>
      <c r="R47" s="49">
        <f t="shared" ca="1" si="8"/>
        <v>3.5788221778745299E-3</v>
      </c>
      <c r="T47" s="52"/>
    </row>
    <row r="48" spans="6:20" x14ac:dyDescent="0.2">
      <c r="F48" s="25">
        <v>1.9</v>
      </c>
      <c r="G48" s="57">
        <f t="shared" ca="1" si="10"/>
        <v>0.94247112192194271</v>
      </c>
      <c r="H48" s="51">
        <f t="shared" ca="1" si="9"/>
        <v>3.2499999999999037E-2</v>
      </c>
      <c r="I48" s="57">
        <f t="shared" ca="1" si="11"/>
        <v>0</v>
      </c>
      <c r="J48" s="50">
        <f t="shared" ca="1" si="12"/>
        <v>0</v>
      </c>
      <c r="K48" s="59">
        <f ca="1">SwapRate*SUMPRODUCT(G49:$G$112,J49:$J$112)/SUMPRODUCT(G49:$G$112,I49:$I$112)</f>
        <v>3.6692077412022232E-2</v>
      </c>
      <c r="L48" s="50">
        <f t="shared" ca="1" si="13"/>
        <v>0.32343696703677643</v>
      </c>
      <c r="M48" s="57">
        <f t="shared" ca="1" si="14"/>
        <v>-2.1164251765479092E-2</v>
      </c>
      <c r="N48" s="50">
        <f ca="1">SUM(G49:$G$112)/G48*0.05</f>
        <v>2.930020927145716</v>
      </c>
      <c r="O48" s="59">
        <f t="shared" ca="1" si="15"/>
        <v>5.8783070991110069E-3</v>
      </c>
      <c r="P48" s="52">
        <f t="shared" ca="1" si="7"/>
        <v>1.7223562816584478E-2</v>
      </c>
      <c r="Q48" s="59">
        <f t="shared" ca="1" si="16"/>
        <v>0.85356521280532094</v>
      </c>
      <c r="R48" s="49">
        <f t="shared" ca="1" si="8"/>
        <v>3.5639414418623394E-3</v>
      </c>
      <c r="T48" s="52"/>
    </row>
    <row r="49" spans="6:20" x14ac:dyDescent="0.2">
      <c r="F49" s="25">
        <v>1.95</v>
      </c>
      <c r="G49" s="57">
        <f t="shared" ca="1" si="10"/>
        <v>0.9409408500314701</v>
      </c>
      <c r="H49" s="51">
        <f t="shared" ca="1" si="9"/>
        <v>3.2499999999999168E-2</v>
      </c>
      <c r="I49" s="57">
        <f t="shared" ca="1" si="11"/>
        <v>0</v>
      </c>
      <c r="J49" s="50">
        <f t="shared" ca="1" si="12"/>
        <v>0</v>
      </c>
      <c r="K49" s="59">
        <f ca="1">SwapRate*SUMPRODUCT(G50:$G$112,J50:$J$112)/SUMPRODUCT(G50:$G$112,I50:$I$112)</f>
        <v>3.6692077412022232E-2</v>
      </c>
      <c r="L49" s="50">
        <f t="shared" ca="1" si="13"/>
        <v>0.32373912992711423</v>
      </c>
      <c r="M49" s="57">
        <f t="shared" ca="1" si="14"/>
        <v>-2.5366871167109284E-2</v>
      </c>
      <c r="N49" s="50">
        <f ca="1">SUM(G50:$G$112)/G49*0.05</f>
        <v>2.8847860817918956</v>
      </c>
      <c r="O49" s="59">
        <f t="shared" ca="1" si="15"/>
        <v>5.9408847774391829E-3</v>
      </c>
      <c r="P49" s="52">
        <f t="shared" ca="1" si="7"/>
        <v>1.7138181719485897E-2</v>
      </c>
      <c r="Q49" s="59">
        <f t="shared" ca="1" si="16"/>
        <v>0.85001609022539815</v>
      </c>
      <c r="R49" s="49">
        <f t="shared" ca="1" si="8"/>
        <v>3.5491225799227921E-3</v>
      </c>
      <c r="T49" s="52"/>
    </row>
    <row r="50" spans="6:20" x14ac:dyDescent="0.2">
      <c r="F50" s="25">
        <v>2</v>
      </c>
      <c r="G50" s="57">
        <f t="shared" ca="1" si="10"/>
        <v>0.93941306281347636</v>
      </c>
      <c r="H50" s="51">
        <f t="shared" ca="1" si="9"/>
        <v>3.2499999999999307E-2</v>
      </c>
      <c r="I50" s="57">
        <f t="shared" ca="1" si="11"/>
        <v>1.7415E-2</v>
      </c>
      <c r="J50" s="50">
        <f t="shared" ca="1" si="12"/>
        <v>1.6249999999999654E-2</v>
      </c>
      <c r="K50" s="59">
        <f ca="1">SwapRate*SUMPRODUCT(G51:$G$112,J51:$J$112)/SUMPRODUCT(G51:$G$112,I51:$I$112)</f>
        <v>3.7436509933649081E-2</v>
      </c>
      <c r="L50" s="50">
        <f t="shared" ca="1" si="13"/>
        <v>0.38089677227056773</v>
      </c>
      <c r="M50" s="57">
        <f t="shared" ca="1" si="14"/>
        <v>2.7343381677293943E-2</v>
      </c>
      <c r="N50" s="50">
        <f ca="1">SUM(G51:$G$112)/G50*0.05</f>
        <v>2.8394776700578794</v>
      </c>
      <c r="O50" s="59">
        <f t="shared" ca="1" si="15"/>
        <v>6.4774451185485513E-3</v>
      </c>
      <c r="P50" s="52">
        <f t="shared" ca="1" si="7"/>
        <v>1.8392560773144023E-2</v>
      </c>
      <c r="Q50" s="59">
        <f t="shared" ca="1" si="16"/>
        <v>0.84648172489061402</v>
      </c>
      <c r="R50" s="49">
        <f t="shared" ca="1" si="8"/>
        <v>3.5343653347841286E-3</v>
      </c>
      <c r="T50" s="52"/>
    </row>
    <row r="51" spans="6:20" x14ac:dyDescent="0.2">
      <c r="F51" s="25">
        <v>2.0499999999999998</v>
      </c>
      <c r="G51" s="57">
        <f t="shared" ref="G51:G70" ca="1" si="17">G50*EXP(-(F51-F50)*IRate3)</f>
        <v>0.93777052759106105</v>
      </c>
      <c r="H51" s="51">
        <f t="shared" ca="1" si="9"/>
        <v>3.4999999999999878E-2</v>
      </c>
      <c r="I51" s="57">
        <f t="shared" ca="1" si="11"/>
        <v>0</v>
      </c>
      <c r="J51" s="50">
        <f t="shared" ca="1" si="12"/>
        <v>0</v>
      </c>
      <c r="K51" s="59">
        <f ca="1">SwapRate*SUMPRODUCT(G52:$G$112,J52:$J$112)/SUMPRODUCT(G52:$G$112,I52:$I$112)</f>
        <v>3.7436509933649081E-2</v>
      </c>
      <c r="L51" s="50">
        <f t="shared" ca="1" si="13"/>
        <v>0.38058820458849829</v>
      </c>
      <c r="M51" s="57">
        <f t="shared" ca="1" si="14"/>
        <v>2.2642678006589478E-2</v>
      </c>
      <c r="N51" s="50">
        <f ca="1">SUM(G52:$G$112)/G51*0.05</f>
        <v>2.794451106468077</v>
      </c>
      <c r="O51" s="59">
        <f t="shared" ca="1" si="15"/>
        <v>6.5384554428457656E-3</v>
      </c>
      <c r="P51" s="52">
        <f t="shared" ca="1" si="7"/>
        <v>1.827139404685257E-2</v>
      </c>
      <c r="Q51" s="59">
        <f t="shared" ca="1" si="16"/>
        <v>0.84296205544037073</v>
      </c>
      <c r="R51" s="49">
        <f t="shared" ca="1" si="8"/>
        <v>3.5196694502432901E-3</v>
      </c>
      <c r="T51" s="52"/>
    </row>
    <row r="52" spans="6:20" x14ac:dyDescent="0.2">
      <c r="F52" s="25">
        <v>2.1</v>
      </c>
      <c r="G52" s="57">
        <f t="shared" ca="1" si="17"/>
        <v>0.93613086429161951</v>
      </c>
      <c r="H52" s="51">
        <f t="shared" ca="1" si="9"/>
        <v>3.4999999999997901E-2</v>
      </c>
      <c r="I52" s="57">
        <f t="shared" ca="1" si="11"/>
        <v>0</v>
      </c>
      <c r="J52" s="50">
        <f t="shared" ca="1" si="12"/>
        <v>0</v>
      </c>
      <c r="K52" s="59">
        <f ca="1">SwapRate*SUMPRODUCT(G53:$G$112,J53:$J$112)/SUMPRODUCT(G53:$G$112,I53:$I$112)</f>
        <v>3.7436509933649081E-2</v>
      </c>
      <c r="L52" s="50">
        <f t="shared" ca="1" si="13"/>
        <v>0.38034300733648729</v>
      </c>
      <c r="M52" s="57">
        <f t="shared" ca="1" si="14"/>
        <v>1.8058588681751309E-2</v>
      </c>
      <c r="N52" s="50">
        <f ca="1">SUM(G53:$G$112)/G52*0.05</f>
        <v>2.7493456774048308</v>
      </c>
      <c r="O52" s="59">
        <f t="shared" ca="1" si="15"/>
        <v>6.5987325108678302E-3</v>
      </c>
      <c r="P52" s="52">
        <f t="shared" ca="1" si="7"/>
        <v>1.8142196705105196E-2</v>
      </c>
      <c r="Q52" s="59">
        <f t="shared" ca="1" si="16"/>
        <v>0.83945702076920736</v>
      </c>
      <c r="R52" s="49">
        <f t="shared" ca="1" si="8"/>
        <v>3.5050346711633651E-3</v>
      </c>
      <c r="T52" s="52"/>
    </row>
    <row r="53" spans="6:20" x14ac:dyDescent="0.2">
      <c r="F53" s="25">
        <v>2.15</v>
      </c>
      <c r="G53" s="57">
        <f t="shared" ca="1" si="17"/>
        <v>0.9344940678936815</v>
      </c>
      <c r="H53" s="51">
        <f t="shared" ca="1" si="9"/>
        <v>3.4999999999998768E-2</v>
      </c>
      <c r="I53" s="57">
        <f t="shared" ca="1" si="11"/>
        <v>0</v>
      </c>
      <c r="J53" s="50">
        <f t="shared" ca="1" si="12"/>
        <v>0</v>
      </c>
      <c r="K53" s="59">
        <f ca="1">SwapRate*SUMPRODUCT(G54:$G$112,J54:$J$112)/SUMPRODUCT(G54:$G$112,I54:$I$112)</f>
        <v>3.7436509933649081E-2</v>
      </c>
      <c r="L53" s="50">
        <f t="shared" ca="1" si="13"/>
        <v>0.38015686269579008</v>
      </c>
      <c r="M53" s="57">
        <f t="shared" ca="1" si="14"/>
        <v>1.358490523041056E-2</v>
      </c>
      <c r="N53" s="50">
        <f ca="1">SUM(G54:$G$112)/G53*0.05</f>
        <v>2.7041612447327275</v>
      </c>
      <c r="O53" s="59">
        <f t="shared" ca="1" si="15"/>
        <v>6.6583010453907625E-3</v>
      </c>
      <c r="P53" s="52">
        <f t="shared" ca="1" si="7"/>
        <v>1.8005119642709105E-2</v>
      </c>
      <c r="Q53" s="59">
        <f t="shared" ca="1" si="16"/>
        <v>0.83596656002573944</v>
      </c>
      <c r="R53" s="49">
        <f t="shared" ca="1" si="8"/>
        <v>3.4904607434679269E-3</v>
      </c>
      <c r="T53" s="52"/>
    </row>
    <row r="54" spans="6:20" x14ac:dyDescent="0.2">
      <c r="F54" s="25">
        <v>2.2000000000000002</v>
      </c>
      <c r="G54" s="57">
        <f t="shared" ca="1" si="17"/>
        <v>0.93286013338455676</v>
      </c>
      <c r="H54" s="51">
        <f t="shared" ca="1" si="9"/>
        <v>3.4999999999999011E-2</v>
      </c>
      <c r="I54" s="57">
        <f t="shared" ca="1" si="11"/>
        <v>0</v>
      </c>
      <c r="J54" s="50">
        <f t="shared" ca="1" si="12"/>
        <v>0</v>
      </c>
      <c r="K54" s="59">
        <f ca="1">SwapRate*SUMPRODUCT(G55:$G$112,J55:$J$112)/SUMPRODUCT(G55:$G$112,I55:$I$112)</f>
        <v>3.7436509933649081E-2</v>
      </c>
      <c r="L54" s="50">
        <f t="shared" ca="1" si="13"/>
        <v>0.38002581928596524</v>
      </c>
      <c r="M54" s="57">
        <f t="shared" ca="1" si="14"/>
        <v>9.2158949311820781E-3</v>
      </c>
      <c r="N54" s="50">
        <f ca="1">SUM(G55:$G$112)/G54*0.05</f>
        <v>2.6588976700744085</v>
      </c>
      <c r="O54" s="59">
        <f t="shared" ca="1" si="15"/>
        <v>6.7171844012413329E-3</v>
      </c>
      <c r="P54" s="52">
        <f t="shared" ca="1" si="7"/>
        <v>1.7860305953920741E-2</v>
      </c>
      <c r="Q54" s="59">
        <f t="shared" ca="1" si="16"/>
        <v>0.83249061261160262</v>
      </c>
      <c r="R54" s="49">
        <f t="shared" ca="1" si="8"/>
        <v>3.4759474141368152E-3</v>
      </c>
      <c r="T54" s="52"/>
    </row>
    <row r="55" spans="6:20" x14ac:dyDescent="0.2">
      <c r="F55" s="25">
        <v>2.25</v>
      </c>
      <c r="G55" s="57">
        <f t="shared" ca="1" si="17"/>
        <v>0.93122905576031956</v>
      </c>
      <c r="H55" s="51">
        <f t="shared" ca="1" si="9"/>
        <v>3.5000000000000434E-2</v>
      </c>
      <c r="I55" s="57">
        <f t="shared" ca="1" si="11"/>
        <v>0</v>
      </c>
      <c r="J55" s="50">
        <f t="shared" ca="1" si="12"/>
        <v>0</v>
      </c>
      <c r="K55" s="59">
        <f ca="1">SwapRate*SUMPRODUCT(G56:$G$112,J56:$J$112)/SUMPRODUCT(G56:$G$112,I56:$I$112)</f>
        <v>3.7436509933649081E-2</v>
      </c>
      <c r="L55" s="50">
        <f t="shared" ca="1" si="13"/>
        <v>0.37994625413944877</v>
      </c>
      <c r="M55" s="57">
        <f t="shared" ca="1" si="14"/>
        <v>4.9462541394487691E-3</v>
      </c>
      <c r="N55" s="50">
        <f ca="1">SUM(G56:$G$112)/G55*0.05</f>
        <v>2.61355481481014</v>
      </c>
      <c r="O55" s="59">
        <f t="shared" ca="1" si="15"/>
        <v>6.775404668988079E-3</v>
      </c>
      <c r="P55" s="52">
        <f t="shared" ca="1" si="7"/>
        <v>1.7707891494920896E-2</v>
      </c>
      <c r="Q55" s="59">
        <f t="shared" ca="1" si="16"/>
        <v>0.82902911818040037</v>
      </c>
      <c r="R55" s="49">
        <f t="shared" ca="1" si="8"/>
        <v>3.46149443120225E-3</v>
      </c>
      <c r="T55" s="52"/>
    </row>
    <row r="56" spans="6:20" x14ac:dyDescent="0.2">
      <c r="F56" s="25">
        <v>2.2999999999999998</v>
      </c>
      <c r="G56" s="57">
        <f t="shared" ca="1" si="17"/>
        <v>0.92960083002579352</v>
      </c>
      <c r="H56" s="51">
        <f t="shared" ca="1" si="9"/>
        <v>3.4999999999999046E-2</v>
      </c>
      <c r="I56" s="57">
        <f t="shared" ca="1" si="11"/>
        <v>0</v>
      </c>
      <c r="J56" s="50">
        <f t="shared" ca="1" si="12"/>
        <v>0</v>
      </c>
      <c r="K56" s="59">
        <f ca="1">SwapRate*SUMPRODUCT(G57:$G$112,J57:$J$112)/SUMPRODUCT(G57:$G$112,I57:$I$112)</f>
        <v>3.7436509933649081E-2</v>
      </c>
      <c r="L56" s="50">
        <f t="shared" ca="1" si="13"/>
        <v>0.37991483933786224</v>
      </c>
      <c r="M56" s="57">
        <f t="shared" ca="1" si="14"/>
        <v>7.7106713528474202E-4</v>
      </c>
      <c r="N56" s="50">
        <f ca="1">SUM(G57:$G$112)/G56*0.05</f>
        <v>2.5681325400773929</v>
      </c>
      <c r="O56" s="59">
        <f t="shared" ca="1" si="15"/>
        <v>6.8329827687482782E-3</v>
      </c>
      <c r="P56" s="52">
        <f t="shared" ca="1" si="7"/>
        <v>1.7548005394210572E-2</v>
      </c>
      <c r="Q56" s="59">
        <f t="shared" ca="1" si="16"/>
        <v>0.82558201663665609</v>
      </c>
      <c r="R56" s="49">
        <f t="shared" ca="1" si="8"/>
        <v>3.4471015437442798E-3</v>
      </c>
      <c r="T56" s="52"/>
    </row>
    <row r="57" spans="6:20" x14ac:dyDescent="0.2">
      <c r="F57" s="25">
        <v>2.35</v>
      </c>
      <c r="G57" s="57">
        <f t="shared" ca="1" si="17"/>
        <v>0.92797545119453595</v>
      </c>
      <c r="H57" s="51">
        <f t="shared" ca="1" si="9"/>
        <v>3.4999999999999289E-2</v>
      </c>
      <c r="I57" s="57">
        <f t="shared" ca="1" si="11"/>
        <v>0</v>
      </c>
      <c r="J57" s="50">
        <f t="shared" ca="1" si="12"/>
        <v>0</v>
      </c>
      <c r="K57" s="59">
        <f ca="1">SwapRate*SUMPRODUCT(G58:$G$112,J58:$J$112)/SUMPRODUCT(G58:$G$112,I58:$I$112)</f>
        <v>3.7436509933649081E-2</v>
      </c>
      <c r="L57" s="50">
        <f t="shared" ca="1" si="13"/>
        <v>0.37992851265315808</v>
      </c>
      <c r="M57" s="57">
        <f t="shared" ca="1" si="14"/>
        <v>-3.3142302657392375E-3</v>
      </c>
      <c r="N57" s="50">
        <f ca="1">SUM(G58:$G$112)/G57*0.05</f>
        <v>2.5226307067704155</v>
      </c>
      <c r="O57" s="59">
        <f t="shared" ca="1" si="15"/>
        <v>6.8899385352375608E-3</v>
      </c>
      <c r="P57" s="52">
        <f t="shared" ca="1" si="7"/>
        <v>1.7380770516751048E-2</v>
      </c>
      <c r="Q57" s="59">
        <f t="shared" ca="1" si="16"/>
        <v>0.82214924813477053</v>
      </c>
      <c r="R57" s="49">
        <f t="shared" ca="1" si="8"/>
        <v>3.4327685018855636E-3</v>
      </c>
      <c r="T57" s="52"/>
    </row>
    <row r="58" spans="6:20" x14ac:dyDescent="0.2">
      <c r="F58" s="25">
        <v>2.4</v>
      </c>
      <c r="G58" s="57">
        <f t="shared" ca="1" si="17"/>
        <v>0.92635291428882294</v>
      </c>
      <c r="H58" s="51">
        <f t="shared" ca="1" si="9"/>
        <v>3.5000000000000156E-2</v>
      </c>
      <c r="I58" s="57">
        <f t="shared" ca="1" si="11"/>
        <v>0</v>
      </c>
      <c r="J58" s="50">
        <f t="shared" ca="1" si="12"/>
        <v>0</v>
      </c>
      <c r="K58" s="59">
        <f ca="1">SwapRate*SUMPRODUCT(G59:$G$112,J59:$J$112)/SUMPRODUCT(G59:$G$112,I59:$I$112)</f>
        <v>3.7436509933649081E-2</v>
      </c>
      <c r="L58" s="50">
        <f t="shared" ca="1" si="13"/>
        <v>0.37998445164089212</v>
      </c>
      <c r="M58" s="57">
        <f t="shared" ca="1" si="14"/>
        <v>-7.3138829798495841E-3</v>
      </c>
      <c r="N58" s="50">
        <f ca="1">SUM(G59:$G$112)/G58*0.05</f>
        <v>2.4770491755398067</v>
      </c>
      <c r="O58" s="59">
        <f t="shared" ca="1" si="15"/>
        <v>6.9462907950400762E-3</v>
      </c>
      <c r="P58" s="52">
        <f t="shared" ca="1" si="7"/>
        <v>1.7206303886913771E-2</v>
      </c>
      <c r="Q58" s="59">
        <f t="shared" ca="1" si="16"/>
        <v>0.81873075307798182</v>
      </c>
      <c r="R58" s="49">
        <f t="shared" ca="1" si="8"/>
        <v>3.4184950567887062E-3</v>
      </c>
      <c r="T58" s="52"/>
    </row>
    <row r="59" spans="6:20" x14ac:dyDescent="0.2">
      <c r="F59" s="25">
        <v>2.4500000000000002</v>
      </c>
      <c r="G59" s="57">
        <f t="shared" ca="1" si="17"/>
        <v>0.92473321433963396</v>
      </c>
      <c r="H59" s="51">
        <f t="shared" ca="1" si="9"/>
        <v>3.4999999999999289E-2</v>
      </c>
      <c r="I59" s="57">
        <f t="shared" ca="1" si="11"/>
        <v>0</v>
      </c>
      <c r="J59" s="50">
        <f t="shared" ca="1" si="12"/>
        <v>0</v>
      </c>
      <c r="K59" s="59">
        <f ca="1">SwapRate*SUMPRODUCT(G60:$G$112,J60:$J$112)/SUMPRODUCT(G60:$G$112,I60:$I$112)</f>
        <v>3.7436509933649081E-2</v>
      </c>
      <c r="L59" s="50">
        <f t="shared" ca="1" si="13"/>
        <v>0.38008005071880629</v>
      </c>
      <c r="M59" s="57">
        <f t="shared" ca="1" si="14"/>
        <v>-1.1231845343656899E-2</v>
      </c>
      <c r="N59" s="50">
        <f ca="1">SUM(G60:$G$112)/G59*0.05</f>
        <v>2.4313878067920922</v>
      </c>
      <c r="O59" s="59">
        <f t="shared" ca="1" si="15"/>
        <v>7.0020574369509259E-3</v>
      </c>
      <c r="P59" s="52">
        <f t="shared" ca="1" si="7"/>
        <v>1.702471707466037E-2</v>
      </c>
      <c r="Q59" s="59">
        <f t="shared" ca="1" si="16"/>
        <v>0.81532647211733189</v>
      </c>
      <c r="R59" s="49">
        <f t="shared" ca="1" si="8"/>
        <v>3.4042809606499302E-3</v>
      </c>
      <c r="T59" s="52"/>
    </row>
    <row r="60" spans="6:20" x14ac:dyDescent="0.2">
      <c r="F60" s="25">
        <v>2.5</v>
      </c>
      <c r="G60" s="57">
        <f t="shared" ca="1" si="17"/>
        <v>0.92311634638663664</v>
      </c>
      <c r="H60" s="51">
        <f t="shared" ca="1" si="9"/>
        <v>3.4999999999999878E-2</v>
      </c>
      <c r="I60" s="57">
        <f t="shared" ca="1" si="11"/>
        <v>1.7415E-2</v>
      </c>
      <c r="J60" s="50">
        <f t="shared" ca="1" si="12"/>
        <v>1.7499999999999939E-2</v>
      </c>
      <c r="K60" s="59">
        <f ca="1">SwapRate*SUMPRODUCT(G61:$G$112,J61:$J$112)/SUMPRODUCT(G61:$G$112,I61:$I$112)</f>
        <v>3.7951557211508488E-2</v>
      </c>
      <c r="L60" s="50">
        <f t="shared" ca="1" si="13"/>
        <v>0.41478065997402386</v>
      </c>
      <c r="M60" s="57">
        <f t="shared" ca="1" si="14"/>
        <v>1.9495952452976417E-2</v>
      </c>
      <c r="N60" s="50">
        <f ca="1">SUM(G61:$G$112)/G60*0.05</f>
        <v>2.3856464606892951</v>
      </c>
      <c r="O60" s="59">
        <f t="shared" ca="1" si="15"/>
        <v>7.3943573364104453E-3</v>
      </c>
      <c r="P60" s="52">
        <f t="shared" ca="1" si="7"/>
        <v>1.7640322408679503E-2</v>
      </c>
      <c r="Q60" s="59">
        <f t="shared" ca="1" si="16"/>
        <v>0.81193634615063492</v>
      </c>
      <c r="R60" s="49">
        <f t="shared" ca="1" si="8"/>
        <v>3.3901259666969663E-3</v>
      </c>
      <c r="T60" s="52"/>
    </row>
    <row r="61" spans="6:20" x14ac:dyDescent="0.2">
      <c r="F61" s="25">
        <v>2.5499999999999998</v>
      </c>
      <c r="G61" s="57">
        <f t="shared" ca="1" si="17"/>
        <v>0.92150230547817169</v>
      </c>
      <c r="H61" s="51">
        <f t="shared" ca="1" si="9"/>
        <v>3.4999999999998213E-2</v>
      </c>
      <c r="I61" s="57">
        <f t="shared" ca="1" si="11"/>
        <v>0</v>
      </c>
      <c r="J61" s="50">
        <f t="shared" ca="1" si="12"/>
        <v>0</v>
      </c>
      <c r="K61" s="59">
        <f ca="1">SwapRate*SUMPRODUCT(G62:$G$112,J62:$J$112)/SUMPRODUCT(G62:$G$112,I62:$I$112)</f>
        <v>3.7951557211508488E-2</v>
      </c>
      <c r="L61" s="50">
        <f t="shared" ca="1" si="13"/>
        <v>0.41460795316680527</v>
      </c>
      <c r="M61" s="57">
        <f t="shared" ca="1" si="14"/>
        <v>1.5389967600022481E-2</v>
      </c>
      <c r="N61" s="50">
        <f ca="1">SUM(G62:$G$112)/G61*0.05</f>
        <v>2.3398249971485052</v>
      </c>
      <c r="O61" s="59">
        <f t="shared" ca="1" si="15"/>
        <v>7.4490025139787829E-3</v>
      </c>
      <c r="P61" s="52">
        <f t="shared" ca="1" si="7"/>
        <v>1.7429362286029614E-2</v>
      </c>
      <c r="Q61" s="59">
        <f t="shared" ca="1" si="16"/>
        <v>0.80856031632145242</v>
      </c>
      <c r="R61" s="49">
        <f t="shared" ca="1" si="8"/>
        <v>3.3760298291825031E-3</v>
      </c>
      <c r="T61" s="52"/>
    </row>
    <row r="62" spans="6:20" x14ac:dyDescent="0.2">
      <c r="F62" s="25">
        <v>2.6</v>
      </c>
      <c r="G62" s="57">
        <f t="shared" ca="1" si="17"/>
        <v>0.91989108667123742</v>
      </c>
      <c r="H62" s="51">
        <f t="shared" ca="1" si="9"/>
        <v>3.4999999999999289E-2</v>
      </c>
      <c r="I62" s="57">
        <f t="shared" ca="1" si="11"/>
        <v>0</v>
      </c>
      <c r="J62" s="50">
        <f t="shared" ca="1" si="12"/>
        <v>0</v>
      </c>
      <c r="K62" s="59">
        <f ca="1">SwapRate*SUMPRODUCT(G63:$G$112,J63:$J$112)/SUMPRODUCT(G63:$G$112,I63:$I$112)</f>
        <v>3.7951557211508488E-2</v>
      </c>
      <c r="L62" s="50">
        <f t="shared" ca="1" si="13"/>
        <v>0.41447807073267962</v>
      </c>
      <c r="M62" s="57">
        <f t="shared" ca="1" si="14"/>
        <v>1.1365183317752103E-2</v>
      </c>
      <c r="N62" s="50">
        <f ca="1">SUM(G63:$G$112)/G62*0.05</f>
        <v>2.2939232758414563</v>
      </c>
      <c r="O62" s="59">
        <f t="shared" ca="1" si="15"/>
        <v>7.5031179203490471E-3</v>
      </c>
      <c r="P62" s="52">
        <f t="shared" ca="1" si="7"/>
        <v>1.7211576838871822E-2</v>
      </c>
      <c r="Q62" s="59">
        <f t="shared" ca="1" si="16"/>
        <v>0.80519832401807057</v>
      </c>
      <c r="R62" s="49">
        <f t="shared" ca="1" si="8"/>
        <v>3.3619923033818555E-3</v>
      </c>
      <c r="T62" s="52"/>
    </row>
    <row r="63" spans="6:20" x14ac:dyDescent="0.2">
      <c r="F63" s="25">
        <v>2.65</v>
      </c>
      <c r="G63" s="57">
        <f t="shared" ca="1" si="17"/>
        <v>0.91828268503147503</v>
      </c>
      <c r="H63" s="51">
        <f t="shared" ca="1" si="9"/>
        <v>3.5000000000000156E-2</v>
      </c>
      <c r="I63" s="57">
        <f t="shared" ca="1" si="11"/>
        <v>0</v>
      </c>
      <c r="J63" s="50">
        <f t="shared" ca="1" si="12"/>
        <v>0</v>
      </c>
      <c r="K63" s="59">
        <f ca="1">SwapRate*SUMPRODUCT(G64:$G$112,J64:$J$112)/SUMPRODUCT(G64:$G$112,I64:$I$112)</f>
        <v>3.7951557211508488E-2</v>
      </c>
      <c r="L63" s="50">
        <f t="shared" ca="1" si="13"/>
        <v>0.41438862445262153</v>
      </c>
      <c r="M63" s="57">
        <f t="shared" ca="1" si="14"/>
        <v>7.4181095501288929E-3</v>
      </c>
      <c r="N63" s="50">
        <f ca="1">SUM(G64:$G$112)/G63*0.05</f>
        <v>2.247941156194091</v>
      </c>
      <c r="O63" s="59">
        <f t="shared" ca="1" si="15"/>
        <v>7.5567178729971894E-3</v>
      </c>
      <c r="P63" s="52">
        <f t="shared" ca="1" si="7"/>
        <v>1.6987057112457855E-2</v>
      </c>
      <c r="Q63" s="59">
        <f t="shared" ca="1" si="16"/>
        <v>0.80185031087248282</v>
      </c>
      <c r="R63" s="49">
        <f t="shared" ca="1" si="8"/>
        <v>3.3480131455877471E-3</v>
      </c>
      <c r="T63" s="52"/>
    </row>
    <row r="64" spans="6:20" x14ac:dyDescent="0.2">
      <c r="F64" s="25">
        <v>2.7</v>
      </c>
      <c r="G64" s="57">
        <f t="shared" ca="1" si="17"/>
        <v>0.91667709563315325</v>
      </c>
      <c r="H64" s="51">
        <f t="shared" ca="1" si="9"/>
        <v>3.4999999999999844E-2</v>
      </c>
      <c r="I64" s="57">
        <f t="shared" ca="1" si="11"/>
        <v>0</v>
      </c>
      <c r="J64" s="50">
        <f t="shared" ca="1" si="12"/>
        <v>0</v>
      </c>
      <c r="K64" s="59">
        <f ca="1">SwapRate*SUMPRODUCT(G65:$G$112,J65:$J$112)/SUMPRODUCT(G65:$G$112,I65:$I$112)</f>
        <v>3.7951557211508488E-2</v>
      </c>
      <c r="L64" s="50">
        <f t="shared" ca="1" si="13"/>
        <v>0.4143373916373434</v>
      </c>
      <c r="M64" s="57">
        <f t="shared" ca="1" si="14"/>
        <v>3.5454735084687883E-3</v>
      </c>
      <c r="N64" s="50">
        <f ca="1">SUM(G65:$G$112)/G64*0.05</f>
        <v>2.2018784973861316</v>
      </c>
      <c r="O64" s="59">
        <f t="shared" ca="1" si="15"/>
        <v>7.609816050727039E-3</v>
      </c>
      <c r="P64" s="52">
        <f t="shared" ca="1" si="7"/>
        <v>1.675589033115972E-2</v>
      </c>
      <c r="Q64" s="59">
        <f t="shared" ca="1" si="16"/>
        <v>0.79851621875937706</v>
      </c>
      <c r="R64" s="49">
        <f t="shared" ca="1" si="8"/>
        <v>3.3340921131057577E-3</v>
      </c>
      <c r="T64" s="52"/>
    </row>
    <row r="65" spans="6:20" x14ac:dyDescent="0.2">
      <c r="F65" s="25">
        <v>2.75</v>
      </c>
      <c r="G65" s="57">
        <f t="shared" ca="1" si="17"/>
        <v>0.91507431355915336</v>
      </c>
      <c r="H65" s="51">
        <f t="shared" ca="1" si="9"/>
        <v>3.4999999999999046E-2</v>
      </c>
      <c r="I65" s="57">
        <f t="shared" ca="1" si="11"/>
        <v>0</v>
      </c>
      <c r="J65" s="50">
        <f t="shared" ca="1" si="12"/>
        <v>0</v>
      </c>
      <c r="K65" s="59">
        <f ca="1">SwapRate*SUMPRODUCT(G66:$G$112,J66:$J$112)/SUMPRODUCT(G66:$G$112,I66:$I$112)</f>
        <v>3.7951557211508488E-2</v>
      </c>
      <c r="L65" s="50">
        <f t="shared" ca="1" si="13"/>
        <v>0.41432230106393869</v>
      </c>
      <c r="M65" s="57">
        <f t="shared" ca="1" si="14"/>
        <v>-2.5579773048628462E-4</v>
      </c>
      <c r="N65" s="50">
        <f ca="1">SUM(G66:$G$112)/G65*0.05</f>
        <v>2.155735158350649</v>
      </c>
      <c r="O65" s="59">
        <f t="shared" ca="1" si="15"/>
        <v>7.662425532859847E-3</v>
      </c>
      <c r="P65" s="52">
        <f t="shared" ca="1" si="7"/>
        <v>1.6518160119429678E-2</v>
      </c>
      <c r="Q65" s="59">
        <f t="shared" ca="1" si="16"/>
        <v>0.79519598979512574</v>
      </c>
      <c r="R65" s="49">
        <f t="shared" ca="1" si="8"/>
        <v>3.3202289642513261E-3</v>
      </c>
      <c r="T65" s="52"/>
    </row>
    <row r="66" spans="6:20" x14ac:dyDescent="0.2">
      <c r="F66" s="25">
        <v>2.8</v>
      </c>
      <c r="G66" s="57">
        <f t="shared" ca="1" si="17"/>
        <v>0.91347433390095389</v>
      </c>
      <c r="H66" s="51">
        <f t="shared" ca="1" si="9"/>
        <v>3.4999999999999878E-2</v>
      </c>
      <c r="I66" s="57">
        <f t="shared" ca="1" si="11"/>
        <v>0</v>
      </c>
      <c r="J66" s="50">
        <f t="shared" ca="1" si="12"/>
        <v>0</v>
      </c>
      <c r="K66" s="59">
        <f ca="1">SwapRate*SUMPRODUCT(G67:$G$112,J67:$J$112)/SUMPRODUCT(G67:$G$112,I67:$I$112)</f>
        <v>3.7951557211508488E-2</v>
      </c>
      <c r="L66" s="50">
        <f t="shared" ca="1" si="13"/>
        <v>0.4143414203287733</v>
      </c>
      <c r="M66" s="57">
        <f t="shared" ca="1" si="14"/>
        <v>-3.9885929382644791E-3</v>
      </c>
      <c r="N66" s="50">
        <f ca="1">SUM(G67:$G$112)/G66*0.05</f>
        <v>2.1095109977736319</v>
      </c>
      <c r="O66" s="59">
        <f t="shared" ca="1" si="15"/>
        <v>7.7145588353888829E-3</v>
      </c>
      <c r="P66" s="52">
        <f t="shared" ca="1" si="7"/>
        <v>1.627394670622459E-2</v>
      </c>
      <c r="Q66" s="59">
        <f t="shared" ca="1" si="16"/>
        <v>0.79188956633678165</v>
      </c>
      <c r="R66" s="49">
        <f t="shared" ca="1" si="8"/>
        <v>3.3064234583440877E-3</v>
      </c>
      <c r="T66" s="52"/>
    </row>
    <row r="67" spans="6:20" x14ac:dyDescent="0.2">
      <c r="F67" s="25">
        <v>2.85</v>
      </c>
      <c r="G67" s="57">
        <f t="shared" ca="1" si="17"/>
        <v>0.91187715175861594</v>
      </c>
      <c r="H67" s="51">
        <f t="shared" ca="1" si="9"/>
        <v>3.4999999999999844E-2</v>
      </c>
      <c r="I67" s="57">
        <f t="shared" ca="1" si="11"/>
        <v>0</v>
      </c>
      <c r="J67" s="50">
        <f t="shared" ca="1" si="12"/>
        <v>0</v>
      </c>
      <c r="K67" s="59">
        <f ca="1">SwapRate*SUMPRODUCT(G68:$G$112,J68:$J$112)/SUMPRODUCT(G68:$G$112,I68:$I$112)</f>
        <v>3.7951557211508488E-2</v>
      </c>
      <c r="L67" s="50">
        <f t="shared" ca="1" si="13"/>
        <v>0.41439294445212205</v>
      </c>
      <c r="M67" s="57">
        <f t="shared" ca="1" si="14"/>
        <v>-7.6556309512312848E-3</v>
      </c>
      <c r="N67" s="50">
        <f ca="1">SUM(G68:$G$112)/G67*0.05</f>
        <v>2.0632058740935522</v>
      </c>
      <c r="O67" s="59">
        <f t="shared" ca="1" si="15"/>
        <v>7.7662279443808484E-3</v>
      </c>
      <c r="P67" s="52">
        <f t="shared" ca="1" si="7"/>
        <v>1.6023327114396059E-2</v>
      </c>
      <c r="Q67" s="59">
        <f t="shared" ca="1" si="16"/>
        <v>0.78859689098107666</v>
      </c>
      <c r="R67" s="49">
        <f t="shared" ca="1" si="8"/>
        <v>3.2926753557049881E-3</v>
      </c>
      <c r="T67" s="52"/>
    </row>
    <row r="68" spans="6:20" x14ac:dyDescent="0.2">
      <c r="F68" s="25">
        <v>2.9</v>
      </c>
      <c r="G68" s="57">
        <f t="shared" ca="1" si="17"/>
        <v>0.91028276224076798</v>
      </c>
      <c r="H68" s="51">
        <f t="shared" ca="1" si="9"/>
        <v>3.4999999999999323E-2</v>
      </c>
      <c r="I68" s="57">
        <f t="shared" ca="1" si="11"/>
        <v>0</v>
      </c>
      <c r="J68" s="50">
        <f t="shared" ca="1" si="12"/>
        <v>0</v>
      </c>
      <c r="K68" s="59">
        <f ca="1">SwapRate*SUMPRODUCT(G69:$G$112,J69:$J$112)/SUMPRODUCT(G69:$G$112,I69:$I$112)</f>
        <v>3.7951557211508488E-2</v>
      </c>
      <c r="L68" s="50">
        <f t="shared" ca="1" si="13"/>
        <v>0.41447518559162078</v>
      </c>
      <c r="M68" s="57">
        <f t="shared" ca="1" si="14"/>
        <v>-1.1259473556539223E-2</v>
      </c>
      <c r="N68" s="50">
        <f ca="1">SUM(G69:$G$112)/G68*0.05</f>
        <v>2.0168196455009331</v>
      </c>
      <c r="O68" s="59">
        <f t="shared" ca="1" si="15"/>
        <v>7.8174443468759652E-3</v>
      </c>
      <c r="P68" s="52">
        <f t="shared" ca="1" si="7"/>
        <v>1.5766375336389658E-2</v>
      </c>
      <c r="Q68" s="59">
        <f t="shared" ca="1" si="16"/>
        <v>0.78531790656342526</v>
      </c>
      <c r="R68" s="49">
        <f t="shared" ca="1" si="8"/>
        <v>3.2789844176513983E-3</v>
      </c>
      <c r="T68" s="52"/>
    </row>
    <row r="69" spans="6:20" x14ac:dyDescent="0.2">
      <c r="F69" s="25">
        <v>2.95</v>
      </c>
      <c r="G69" s="57">
        <f t="shared" ca="1" si="17"/>
        <v>0.90869116046459086</v>
      </c>
      <c r="H69" s="51">
        <f t="shared" ca="1" si="9"/>
        <v>3.4999999999998734E-2</v>
      </c>
      <c r="I69" s="57">
        <f t="shared" ca="1" si="11"/>
        <v>0</v>
      </c>
      <c r="J69" s="50">
        <f t="shared" ca="1" si="12"/>
        <v>0</v>
      </c>
      <c r="K69" s="59">
        <f ca="1">SwapRate*SUMPRODUCT(G70:$G$112,J70:$J$112)/SUMPRODUCT(G70:$G$112,I70:$I$112)</f>
        <v>3.7951557211508488E-2</v>
      </c>
      <c r="L69" s="50">
        <f t="shared" ca="1" si="13"/>
        <v>0.41458656374005287</v>
      </c>
      <c r="M69" s="57">
        <f t="shared" ca="1" si="14"/>
        <v>-1.4802537192888821E-2</v>
      </c>
      <c r="N69" s="50">
        <f ca="1">SUM(G70:$G$112)/G69*0.05</f>
        <v>1.9703521699379121</v>
      </c>
      <c r="O69" s="59">
        <f t="shared" ca="1" si="15"/>
        <v>7.8682190595113881E-3</v>
      </c>
      <c r="P69" s="52">
        <f t="shared" ca="1" si="7"/>
        <v>1.5503162497455101E-2</v>
      </c>
      <c r="Q69" s="59">
        <f t="shared" ca="1" si="16"/>
        <v>0.78205255615693248</v>
      </c>
      <c r="R69" s="49">
        <f t="shared" ca="1" si="8"/>
        <v>3.2653504064927841E-3</v>
      </c>
      <c r="T69" s="52"/>
    </row>
    <row r="70" spans="6:20" x14ac:dyDescent="0.2">
      <c r="F70" s="25">
        <v>3</v>
      </c>
      <c r="G70" s="57">
        <f t="shared" ca="1" si="17"/>
        <v>0.90710234155580283</v>
      </c>
      <c r="H70" s="51">
        <f t="shared" ca="1" si="9"/>
        <v>3.5000000000000156E-2</v>
      </c>
      <c r="I70" s="57">
        <f t="shared" ca="1" si="11"/>
        <v>1.7415E-2</v>
      </c>
      <c r="J70" s="50">
        <f t="shared" ca="1" si="12"/>
        <v>1.7500000000000078E-2</v>
      </c>
      <c r="K70" s="59">
        <f ca="1">SwapRate*SUMPRODUCT(G71:$G$112,J71:$J$112)/SUMPRODUCT(G71:$G$112,I71:$I$112)</f>
        <v>3.8725397586614349E-2</v>
      </c>
      <c r="L70" s="50">
        <f t="shared" ca="1" si="13"/>
        <v>0.46134112907752156</v>
      </c>
      <c r="M70" s="57">
        <f t="shared" ca="1" si="14"/>
        <v>2.8328427185302263E-2</v>
      </c>
      <c r="N70" s="50">
        <f ca="1">SUM(G71:$G$112)/G70*0.05</f>
        <v>1.9238033050978101</v>
      </c>
      <c r="O70" s="59">
        <f t="shared" ca="1" si="15"/>
        <v>8.4365195515533307E-3</v>
      </c>
      <c r="P70" s="52">
        <f t="shared" ca="1" si="7"/>
        <v>1.6230204196800591E-2</v>
      </c>
      <c r="Q70" s="59">
        <f t="shared" ca="1" si="16"/>
        <v>0.77880078307140488</v>
      </c>
      <c r="R70" s="49">
        <f t="shared" ca="1" si="8"/>
        <v>3.2517730855275984E-3</v>
      </c>
      <c r="T70" s="52"/>
    </row>
    <row r="71" spans="6:20" x14ac:dyDescent="0.2">
      <c r="F71" s="25">
        <v>3.05</v>
      </c>
      <c r="G71" s="57">
        <f t="shared" ref="G71:G90" ca="1" si="18">G70*EXP(-(F71-F70)*IRate4)</f>
        <v>0.9054031181851151</v>
      </c>
      <c r="H71" s="51">
        <f t="shared" ca="1" si="9"/>
        <v>3.7499999999998777E-2</v>
      </c>
      <c r="I71" s="57">
        <f t="shared" ca="1" si="11"/>
        <v>0</v>
      </c>
      <c r="J71" s="50">
        <f t="shared" ca="1" si="12"/>
        <v>0</v>
      </c>
      <c r="K71" s="59">
        <f ca="1">SwapRate*SUMPRODUCT(G72:$G$112,J72:$J$112)/SUMPRODUCT(G72:$G$112,I72:$I$112)</f>
        <v>3.8725397586614349E-2</v>
      </c>
      <c r="L71" s="50">
        <f t="shared" ca="1" si="13"/>
        <v>0.46112275776589723</v>
      </c>
      <c r="M71" s="57">
        <f t="shared" ca="1" si="14"/>
        <v>2.4516527851572711E-2</v>
      </c>
      <c r="N71" s="50">
        <f ca="1">SUM(G72:$G$112)/G71*0.05</f>
        <v>1.87741382009491</v>
      </c>
      <c r="O71" s="59">
        <f t="shared" ca="1" si="15"/>
        <v>8.4864347433741931E-3</v>
      </c>
      <c r="P71" s="52">
        <f t="shared" ca="1" si="7"/>
        <v>1.5932549870544311E-2</v>
      </c>
      <c r="Q71" s="59">
        <f t="shared" ca="1" si="16"/>
        <v>0.77556253085236704</v>
      </c>
      <c r="R71" s="49">
        <f t="shared" ca="1" si="8"/>
        <v>3.2382522190378404E-3</v>
      </c>
      <c r="T71" s="52"/>
    </row>
    <row r="72" spans="6:20" x14ac:dyDescent="0.2">
      <c r="F72" s="25">
        <v>3.1</v>
      </c>
      <c r="G72" s="57">
        <f t="shared" ca="1" si="18"/>
        <v>0.90370707787319726</v>
      </c>
      <c r="H72" s="51">
        <f t="shared" ca="1" si="9"/>
        <v>3.7499999999998444E-2</v>
      </c>
      <c r="I72" s="57">
        <f t="shared" ca="1" si="11"/>
        <v>0</v>
      </c>
      <c r="J72" s="50">
        <f t="shared" ca="1" si="12"/>
        <v>0</v>
      </c>
      <c r="K72" s="59">
        <f ca="1">SwapRate*SUMPRODUCT(G73:$G$112,J73:$J$112)/SUMPRODUCT(G73:$G$112,I73:$I$112)</f>
        <v>3.8725397586614349E-2</v>
      </c>
      <c r="L72" s="50">
        <f t="shared" ca="1" si="13"/>
        <v>0.46093867026625546</v>
      </c>
      <c r="M72" s="57">
        <f t="shared" ca="1" si="14"/>
        <v>2.0768248724780225E-2</v>
      </c>
      <c r="N72" s="50">
        <f ca="1">SUM(G73:$G$112)/G72*0.05</f>
        <v>1.8309372732126239</v>
      </c>
      <c r="O72" s="59">
        <f t="shared" ca="1" si="15"/>
        <v>8.5359470354309658E-3</v>
      </c>
      <c r="P72" s="52">
        <f t="shared" ca="1" si="7"/>
        <v>1.5628783589339352E-2</v>
      </c>
      <c r="Q72" s="59">
        <f t="shared" ca="1" si="16"/>
        <v>0.77233774328008098</v>
      </c>
      <c r="R72" s="49">
        <f t="shared" ca="1" si="8"/>
        <v>3.2247875722860586E-3</v>
      </c>
      <c r="T72" s="52"/>
    </row>
    <row r="73" spans="6:20" x14ac:dyDescent="0.2">
      <c r="F73" s="25">
        <v>3.15</v>
      </c>
      <c r="G73" s="57">
        <f t="shared" ca="1" si="18"/>
        <v>0.90201421465740583</v>
      </c>
      <c r="H73" s="51">
        <f t="shared" ca="1" si="9"/>
        <v>3.7499999999999888E-2</v>
      </c>
      <c r="I73" s="57">
        <f t="shared" ca="1" si="11"/>
        <v>0</v>
      </c>
      <c r="J73" s="50">
        <f t="shared" ca="1" si="12"/>
        <v>0</v>
      </c>
      <c r="K73" s="59">
        <f ca="1">SwapRate*SUMPRODUCT(G74:$G$112,J74:$J$112)/SUMPRODUCT(G74:$G$112,I74:$I$112)</f>
        <v>3.8725397586614349E-2</v>
      </c>
      <c r="L73" s="50">
        <f t="shared" ca="1" si="13"/>
        <v>0.46078726970501832</v>
      </c>
      <c r="M73" s="57">
        <f t="shared" ca="1" si="14"/>
        <v>1.70812859725471E-2</v>
      </c>
      <c r="N73" s="50">
        <f ca="1">SUM(G74:$G$112)/G73*0.05</f>
        <v>1.7843735010567945</v>
      </c>
      <c r="O73" s="59">
        <f t="shared" ca="1" si="15"/>
        <v>8.5850654144239112E-3</v>
      </c>
      <c r="P73" s="52">
        <f t="shared" ca="1" si="7"/>
        <v>1.5318963230337195E-2</v>
      </c>
      <c r="Q73" s="59">
        <f t="shared" ca="1" si="16"/>
        <v>0.76912636436857051</v>
      </c>
      <c r="R73" s="49">
        <f t="shared" ca="1" si="8"/>
        <v>3.2113789115104652E-3</v>
      </c>
      <c r="T73" s="52"/>
    </row>
    <row r="74" spans="6:20" x14ac:dyDescent="0.2">
      <c r="F74" s="25">
        <v>3.2</v>
      </c>
      <c r="G74" s="57">
        <f t="shared" ca="1" si="18"/>
        <v>0.90032452258626683</v>
      </c>
      <c r="H74" s="51">
        <f t="shared" ca="1" si="9"/>
        <v>3.7499999999999832E-2</v>
      </c>
      <c r="I74" s="57">
        <f t="shared" ca="1" si="11"/>
        <v>0</v>
      </c>
      <c r="J74" s="50">
        <f t="shared" ca="1" si="12"/>
        <v>0</v>
      </c>
      <c r="K74" s="59">
        <f ca="1">SwapRate*SUMPRODUCT(G75:$G$112,J75:$J$112)/SUMPRODUCT(G75:$G$112,I75:$I$112)</f>
        <v>3.8725397586614349E-2</v>
      </c>
      <c r="L74" s="50">
        <f t="shared" ca="1" si="13"/>
        <v>0.4606670523188155</v>
      </c>
      <c r="M74" s="57">
        <f t="shared" ca="1" si="14"/>
        <v>1.3453456818857568E-2</v>
      </c>
      <c r="N74" s="50">
        <f ca="1">SUM(G75:$G$112)/G74*0.05</f>
        <v>1.7377223399266115</v>
      </c>
      <c r="O74" s="59">
        <f t="shared" ca="1" si="15"/>
        <v>8.6337985349527885E-3</v>
      </c>
      <c r="P74" s="52">
        <f t="shared" ca="1" si="7"/>
        <v>1.5003144592613109E-2</v>
      </c>
      <c r="Q74" s="59">
        <f t="shared" ca="1" si="16"/>
        <v>0.76592833836464869</v>
      </c>
      <c r="R74" s="49">
        <f t="shared" ca="1" si="8"/>
        <v>3.1980260039218278E-3</v>
      </c>
      <c r="T74" s="52"/>
    </row>
    <row r="75" spans="6:20" x14ac:dyDescent="0.2">
      <c r="F75" s="25">
        <v>3.25</v>
      </c>
      <c r="G75" s="57">
        <f t="shared" ca="1" si="18"/>
        <v>0.89863799571945491</v>
      </c>
      <c r="H75" s="51">
        <f t="shared" ca="1" si="9"/>
        <v>3.7499999999999055E-2</v>
      </c>
      <c r="I75" s="57">
        <f t="shared" ref="I75:I110" ca="1" si="19">IF(ABS(MOD(F75,PayFrac))&lt;0.000001,SwapRate*PayFrac,0)</f>
        <v>0</v>
      </c>
      <c r="J75" s="50">
        <f t="shared" ref="J75:J110" ca="1" si="20">IF(ABS(MOD(F75,RecFrac))&lt;0.000001,H75*RecFrac,0)</f>
        <v>0</v>
      </c>
      <c r="K75" s="59">
        <f ca="1">SwapRate*SUMPRODUCT(G76:$G$112,J76:$J$112)/SUMPRODUCT(G76:$G$112,I76:$I$112)</f>
        <v>3.8725397586614349E-2</v>
      </c>
      <c r="L75" s="50">
        <f t="shared" ref="L75:L106" ca="1" si="21">(LN(K75/SwapRate)+0.5*SwapRateVol^2*F75)/(SwapRateVol*SQRT(F75))</f>
        <v>0.46057660077326601</v>
      </c>
      <c r="M75" s="57">
        <f t="shared" ref="M75:M106" ca="1" si="22">L75-SwapRateVol*SQRT(F75)</f>
        <v>9.8826913402673688E-3</v>
      </c>
      <c r="N75" s="50">
        <f ca="1">SUM(G76:$G$112)/G75*0.05</f>
        <v>1.690983625814038</v>
      </c>
      <c r="O75" s="59">
        <f t="shared" ref="O75:O109" ca="1" si="23">IF(PayRec="PAY",K75*NORMSDIST(L75)-SwapRate*NORMSDIST(M75),SwapRate*NORMSDIST(-M75)-K75*NORMSDIST(-L75))</f>
        <v>8.6821547364344109E-3</v>
      </c>
      <c r="P75" s="52">
        <f t="shared" ca="1" si="7"/>
        <v>1.4681381496094385E-2</v>
      </c>
      <c r="Q75" s="59">
        <f t="shared" ref="Q75:Q109" ca="1" si="24">EXP(-F75*CDSPrem/10000/(1-Recovery))</f>
        <v>0.76274360974695044</v>
      </c>
      <c r="R75" s="49">
        <f t="shared" ca="1" si="8"/>
        <v>3.1847286176982514E-3</v>
      </c>
      <c r="T75" s="52"/>
    </row>
    <row r="76" spans="6:20" x14ac:dyDescent="0.2">
      <c r="F76" s="25">
        <v>3.3</v>
      </c>
      <c r="G76" s="57">
        <f t="shared" ca="1" si="18"/>
        <v>0.89695462812777227</v>
      </c>
      <c r="H76" s="51">
        <f t="shared" ca="1" si="9"/>
        <v>3.74999999999985E-2</v>
      </c>
      <c r="I76" s="57">
        <f t="shared" ca="1" si="19"/>
        <v>0</v>
      </c>
      <c r="J76" s="50">
        <f t="shared" ca="1" si="20"/>
        <v>0</v>
      </c>
      <c r="K76" s="59">
        <f ca="1">SwapRate*SUMPRODUCT(G77:$G$112,J77:$J$112)/SUMPRODUCT(G77:$G$112,I77:$I$112)</f>
        <v>3.8725397586614349E-2</v>
      </c>
      <c r="L76" s="50">
        <f t="shared" ca="1" si="21"/>
        <v>0.46051457805185797</v>
      </c>
      <c r="M76" s="57">
        <f t="shared" ca="1" si="22"/>
        <v>6.3670249372342336E-3</v>
      </c>
      <c r="N76" s="50">
        <f ca="1">SUM(G77:$G$112)/G76*0.05</f>
        <v>1.6441571944032356</v>
      </c>
      <c r="O76" s="59">
        <f t="shared" ca="1" si="23"/>
        <v>8.7301420589307732E-3</v>
      </c>
      <c r="P76" s="52">
        <f t="shared" ref="P76:P109" ca="1" si="25">O76*N76</f>
        <v>1.4353725874353306E-2</v>
      </c>
      <c r="Q76" s="59">
        <f t="shared" ca="1" si="24"/>
        <v>0.75957212322496848</v>
      </c>
      <c r="R76" s="49">
        <f t="shared" ca="1" si="8"/>
        <v>3.1714865219819588E-3</v>
      </c>
      <c r="T76" s="52"/>
    </row>
    <row r="77" spans="6:20" x14ac:dyDescent="0.2">
      <c r="F77" s="25">
        <v>3.35</v>
      </c>
      <c r="G77" s="57">
        <f t="shared" ca="1" si="18"/>
        <v>0.8952744138931279</v>
      </c>
      <c r="H77" s="51">
        <f t="shared" ca="1" si="9"/>
        <v>3.750000000000011E-2</v>
      </c>
      <c r="I77" s="57">
        <f t="shared" ca="1" si="19"/>
        <v>0</v>
      </c>
      <c r="J77" s="50">
        <f t="shared" ca="1" si="20"/>
        <v>0</v>
      </c>
      <c r="K77" s="59">
        <f ca="1">SwapRate*SUMPRODUCT(G78:$G$112,J78:$J$112)/SUMPRODUCT(G78:$G$112,I78:$I$112)</f>
        <v>3.8725397586614349E-2</v>
      </c>
      <c r="L77" s="50">
        <f t="shared" ca="1" si="21"/>
        <v>0.46047972185865133</v>
      </c>
      <c r="M77" s="57">
        <f t="shared" ca="1" si="22"/>
        <v>2.9045914155731434E-3</v>
      </c>
      <c r="N77" s="50">
        <f ca="1">SUM(G78:$G$112)/G77*0.05</f>
        <v>1.5972428810699819</v>
      </c>
      <c r="O77" s="59">
        <f t="shared" ca="1" si="23"/>
        <v>8.7777682579719789E-3</v>
      </c>
      <c r="P77" s="52">
        <f t="shared" ca="1" si="25"/>
        <v>1.40202278617278E-2</v>
      </c>
      <c r="Q77" s="59">
        <f t="shared" ca="1" si="24"/>
        <v>0.75641382373809318</v>
      </c>
      <c r="R77" s="49">
        <f t="shared" ref="R77:R109" ca="1" si="26">Q76-Q77</f>
        <v>3.1582994868752934E-3</v>
      </c>
      <c r="T77" s="52"/>
    </row>
    <row r="78" spans="6:20" x14ac:dyDescent="0.2">
      <c r="F78" s="25">
        <v>3.4</v>
      </c>
      <c r="G78" s="57">
        <f t="shared" ca="1" si="18"/>
        <v>0.89359734710851702</v>
      </c>
      <c r="H78" s="51">
        <f t="shared" ca="1" si="9"/>
        <v>3.749999999999961E-2</v>
      </c>
      <c r="I78" s="57">
        <f t="shared" ca="1" si="19"/>
        <v>0</v>
      </c>
      <c r="J78" s="50">
        <f t="shared" ca="1" si="20"/>
        <v>0</v>
      </c>
      <c r="K78" s="59">
        <f ca="1">SwapRate*SUMPRODUCT(G79:$G$112,J79:$J$112)/SUMPRODUCT(G79:$G$112,I79:$I$112)</f>
        <v>3.8725397586614349E-2</v>
      </c>
      <c r="L78" s="50">
        <f t="shared" ca="1" si="21"/>
        <v>0.46047083948482204</v>
      </c>
      <c r="M78" s="57">
        <f t="shared" ca="1" si="22"/>
        <v>-5.0638337982233939E-4</v>
      </c>
      <c r="N78" s="50">
        <f ca="1">SUM(G79:$G$112)/G78*0.05</f>
        <v>1.5502405208810961</v>
      </c>
      <c r="O78" s="59">
        <f t="shared" ca="1" si="23"/>
        <v>8.8250408184507301E-3</v>
      </c>
      <c r="P78" s="52">
        <f t="shared" ca="1" si="25"/>
        <v>1.3680935875191995E-2</v>
      </c>
      <c r="Q78" s="59">
        <f t="shared" ca="1" si="24"/>
        <v>0.75326865645465679</v>
      </c>
      <c r="R78" s="49">
        <f t="shared" ca="1" si="26"/>
        <v>3.1451672834363897E-3</v>
      </c>
      <c r="T78" s="52"/>
    </row>
    <row r="79" spans="6:20" x14ac:dyDescent="0.2">
      <c r="F79" s="25">
        <v>3.45</v>
      </c>
      <c r="G79" s="57">
        <f t="shared" ca="1" si="18"/>
        <v>0.89192342187799989</v>
      </c>
      <c r="H79" s="51">
        <f t="shared" ref="H79:H110" ca="1" si="27">-(LN(G79)-LN(G78))/(F79-F78)</f>
        <v>3.750000000000011E-2</v>
      </c>
      <c r="I79" s="57">
        <f t="shared" ca="1" si="19"/>
        <v>0</v>
      </c>
      <c r="J79" s="50">
        <f t="shared" ca="1" si="20"/>
        <v>0</v>
      </c>
      <c r="K79" s="59">
        <f ca="1">SwapRate*SUMPRODUCT(G80:$G$112,J80:$J$112)/SUMPRODUCT(G80:$G$112,I80:$I$112)</f>
        <v>3.8725397586614349E-2</v>
      </c>
      <c r="L79" s="50">
        <f t="shared" ca="1" si="21"/>
        <v>0.4604868030945759</v>
      </c>
      <c r="M79" s="57">
        <f t="shared" ca="1" si="22"/>
        <v>-3.8675874305918456E-3</v>
      </c>
      <c r="N79" s="50">
        <f ca="1">SUM(G80:$G$112)/G79*0.05</f>
        <v>1.5031499485938575</v>
      </c>
      <c r="O79" s="59">
        <f t="shared" ca="1" si="23"/>
        <v>8.8719669676582992E-3</v>
      </c>
      <c r="P79" s="52">
        <f t="shared" ca="1" si="25"/>
        <v>1.3335896691361974E-2</v>
      </c>
      <c r="Q79" s="59">
        <f t="shared" ca="1" si="24"/>
        <v>0.75013656677098184</v>
      </c>
      <c r="R79" s="49">
        <f t="shared" ca="1" si="26"/>
        <v>3.1320896836749545E-3</v>
      </c>
      <c r="T79" s="52"/>
    </row>
    <row r="80" spans="6:20" x14ac:dyDescent="0.2">
      <c r="F80" s="25">
        <v>3.5</v>
      </c>
      <c r="G80" s="57">
        <f t="shared" ca="1" si="18"/>
        <v>0.8902526323166815</v>
      </c>
      <c r="H80" s="51">
        <f t="shared" ca="1" si="27"/>
        <v>3.749999999999961E-2</v>
      </c>
      <c r="I80" s="57">
        <f t="shared" ca="1" si="19"/>
        <v>1.7415E-2</v>
      </c>
      <c r="J80" s="50">
        <f t="shared" ca="1" si="20"/>
        <v>1.8749999999999805E-2</v>
      </c>
      <c r="K80" s="59">
        <f ca="1">SwapRate*SUMPRODUCT(G81:$G$112,J81:$J$112)/SUMPRODUCT(G81:$G$112,I81:$I$112)</f>
        <v>3.914994556101456E-2</v>
      </c>
      <c r="L80" s="50">
        <f t="shared" ca="1" si="21"/>
        <v>0.48383894973300479</v>
      </c>
      <c r="M80" s="57">
        <f t="shared" ca="1" si="22"/>
        <v>1.613177638626212E-2</v>
      </c>
      <c r="N80" s="50">
        <f ca="1">SUM(G81:$G$112)/G80*0.05</f>
        <v>1.4559709986554246</v>
      </c>
      <c r="O80" s="59">
        <f t="shared" ca="1" si="23"/>
        <v>9.207927950234774E-3</v>
      </c>
      <c r="P80" s="52">
        <f t="shared" ca="1" si="25"/>
        <v>1.3406476053250521E-2</v>
      </c>
      <c r="Q80" s="59">
        <f t="shared" ca="1" si="24"/>
        <v>0.74701750031043257</v>
      </c>
      <c r="R80" s="49">
        <f t="shared" ca="1" si="26"/>
        <v>3.1190664605492691E-3</v>
      </c>
      <c r="T80" s="52"/>
    </row>
    <row r="81" spans="6:20" x14ac:dyDescent="0.2">
      <c r="F81" s="25">
        <v>3.55</v>
      </c>
      <c r="G81" s="57">
        <f t="shared" ca="1" si="18"/>
        <v>0.88858497255069058</v>
      </c>
      <c r="H81" s="51">
        <f t="shared" ca="1" si="27"/>
        <v>3.74999999999985E-2</v>
      </c>
      <c r="I81" s="57">
        <f t="shared" ca="1" si="19"/>
        <v>0</v>
      </c>
      <c r="J81" s="50">
        <f t="shared" ca="1" si="20"/>
        <v>0</v>
      </c>
      <c r="K81" s="59">
        <f ca="1">SwapRate*SUMPRODUCT(G82:$G$112,J82:$J$112)/SUMPRODUCT(G82:$G$112,I82:$I$112)</f>
        <v>3.914994556101456E-2</v>
      </c>
      <c r="L81" s="50">
        <f t="shared" ca="1" si="21"/>
        <v>0.48373670592856988</v>
      </c>
      <c r="M81" s="57">
        <f t="shared" ca="1" si="22"/>
        <v>1.2700613893150581E-2</v>
      </c>
      <c r="N81" s="50">
        <f ca="1">SUM(G82:$G$112)/G81*0.05</f>
        <v>1.4087035052022518</v>
      </c>
      <c r="O81" s="59">
        <f t="shared" ca="1" si="23"/>
        <v>9.2541789791556264E-3</v>
      </c>
      <c r="P81" s="52">
        <f t="shared" ca="1" si="25"/>
        <v>1.3036394365705528E-2</v>
      </c>
      <c r="Q81" s="59">
        <f t="shared" ca="1" si="24"/>
        <v>0.74391140292247115</v>
      </c>
      <c r="R81" s="49">
        <f t="shared" ca="1" si="26"/>
        <v>3.1060973879614151E-3</v>
      </c>
      <c r="T81" s="52"/>
    </row>
    <row r="82" spans="6:20" x14ac:dyDescent="0.2">
      <c r="F82" s="25">
        <v>3.6</v>
      </c>
      <c r="G82" s="57">
        <f t="shared" ca="1" si="18"/>
        <v>0.88692043671715892</v>
      </c>
      <c r="H82" s="51">
        <f t="shared" ca="1" si="27"/>
        <v>3.7499999999999832E-2</v>
      </c>
      <c r="I82" s="57">
        <f t="shared" ca="1" si="19"/>
        <v>0</v>
      </c>
      <c r="J82" s="50">
        <f t="shared" ca="1" si="20"/>
        <v>0</v>
      </c>
      <c r="K82" s="59">
        <f ca="1">SwapRate*SUMPRODUCT(G83:$G$112,J83:$J$112)/SUMPRODUCT(G83:$G$112,I83:$I$112)</f>
        <v>3.914994556101456E-2</v>
      </c>
      <c r="L82" s="50">
        <f t="shared" ca="1" si="21"/>
        <v>0.48365971659061435</v>
      </c>
      <c r="M82" s="57">
        <f t="shared" ca="1" si="22"/>
        <v>9.3180675653574685E-3</v>
      </c>
      <c r="N82" s="50">
        <f ca="1">SUM(G83:$G$112)/G82*0.05</f>
        <v>1.3613473020595099</v>
      </c>
      <c r="O82" s="59">
        <f t="shared" ca="1" si="23"/>
        <v>9.300107416832782E-3</v>
      </c>
      <c r="P82" s="52">
        <f t="shared" ca="1" si="25"/>
        <v>1.2660676140768946E-2</v>
      </c>
      <c r="Q82" s="59">
        <f t="shared" ca="1" si="24"/>
        <v>0.74081822068171788</v>
      </c>
      <c r="R82" s="49">
        <f t="shared" ca="1" si="26"/>
        <v>3.0931822407532783E-3</v>
      </c>
      <c r="T82" s="52"/>
    </row>
    <row r="83" spans="6:20" x14ac:dyDescent="0.2">
      <c r="F83" s="25">
        <v>3.649999999999995</v>
      </c>
      <c r="G83" s="57">
        <f t="shared" ca="1" si="18"/>
        <v>0.88525901896420123</v>
      </c>
      <c r="H83" s="51">
        <f t="shared" ca="1" si="27"/>
        <v>3.7500000000001053E-2</v>
      </c>
      <c r="I83" s="57">
        <f t="shared" ca="1" si="19"/>
        <v>0</v>
      </c>
      <c r="J83" s="50">
        <f t="shared" ca="1" si="20"/>
        <v>0</v>
      </c>
      <c r="K83" s="59">
        <f ca="1">SwapRate*SUMPRODUCT(G84:$G$112,J84:$J$112)/SUMPRODUCT(G84:$G$112,I84:$I$112)</f>
        <v>3.914994556101456E-2</v>
      </c>
      <c r="L83" s="50">
        <f t="shared" ca="1" si="21"/>
        <v>0.48360695495236256</v>
      </c>
      <c r="M83" s="57">
        <f t="shared" ca="1" si="22"/>
        <v>5.982625588792867E-3</v>
      </c>
      <c r="N83" s="50">
        <f ca="1">SUM(G84:$G$112)/G83*0.05</f>
        <v>1.3139022227404979</v>
      </c>
      <c r="O83" s="59">
        <f t="shared" ca="1" si="23"/>
        <v>9.3457194288678047E-3</v>
      </c>
      <c r="P83" s="52">
        <f t="shared" ca="1" si="25"/>
        <v>1.2279361530698465E-2</v>
      </c>
      <c r="Q83" s="59">
        <f t="shared" ca="1" si="24"/>
        <v>0.73773789988701466</v>
      </c>
      <c r="R83" s="49">
        <f t="shared" ca="1" si="26"/>
        <v>3.0803207947032174E-3</v>
      </c>
      <c r="T83" s="52"/>
    </row>
    <row r="84" spans="6:20" x14ac:dyDescent="0.2">
      <c r="F84" s="25">
        <v>3.7</v>
      </c>
      <c r="G84" s="57">
        <f t="shared" ca="1" si="18"/>
        <v>0.88360071345089353</v>
      </c>
      <c r="H84" s="51">
        <f t="shared" ca="1" si="27"/>
        <v>3.7500000000000887E-2</v>
      </c>
      <c r="I84" s="57">
        <f t="shared" ca="1" si="19"/>
        <v>0</v>
      </c>
      <c r="J84" s="50">
        <f t="shared" ca="1" si="20"/>
        <v>0</v>
      </c>
      <c r="K84" s="59">
        <f ca="1">SwapRate*SUMPRODUCT(G85:$G$112,J85:$J$112)/SUMPRODUCT(G85:$G$112,I85:$I$112)</f>
        <v>3.914994556101456E-2</v>
      </c>
      <c r="L84" s="50">
        <f t="shared" ca="1" si="21"/>
        <v>0.48357744620873411</v>
      </c>
      <c r="M84" s="57">
        <f t="shared" ca="1" si="22"/>
        <v>2.6928446669504669E-3</v>
      </c>
      <c r="N84" s="50">
        <f ca="1">SUM(G85:$G$112)/G84*0.05</f>
        <v>1.2663681004460605</v>
      </c>
      <c r="O84" s="59">
        <f t="shared" ca="1" si="23"/>
        <v>9.3910209849532127E-3</v>
      </c>
      <c r="P84" s="52">
        <f t="shared" ca="1" si="25"/>
        <v>1.1892489405964293E-2</v>
      </c>
      <c r="Q84" s="59">
        <f t="shared" ca="1" si="24"/>
        <v>0.7346703870604917</v>
      </c>
      <c r="R84" s="49">
        <f t="shared" ca="1" si="26"/>
        <v>3.0675128265229556E-3</v>
      </c>
      <c r="T84" s="52"/>
    </row>
    <row r="85" spans="6:20" x14ac:dyDescent="0.2">
      <c r="F85" s="25">
        <v>3.75</v>
      </c>
      <c r="G85" s="57">
        <f t="shared" ca="1" si="18"/>
        <v>0.88194551434725432</v>
      </c>
      <c r="H85" s="51">
        <f t="shared" ca="1" si="27"/>
        <v>3.750000000000072E-2</v>
      </c>
      <c r="I85" s="57">
        <f t="shared" ca="1" si="19"/>
        <v>0</v>
      </c>
      <c r="J85" s="50">
        <f t="shared" ca="1" si="20"/>
        <v>0</v>
      </c>
      <c r="K85" s="59">
        <f ca="1">SwapRate*SUMPRODUCT(G86:$G$112,J86:$J$112)/SUMPRODUCT(G86:$G$112,I86:$I$112)</f>
        <v>3.914994556101456E-2</v>
      </c>
      <c r="L85" s="50">
        <f t="shared" ca="1" si="21"/>
        <v>0.48357026427996996</v>
      </c>
      <c r="M85" s="57">
        <f t="shared" ca="1" si="22"/>
        <v>-5.5265399595716413E-4</v>
      </c>
      <c r="N85" s="50">
        <f ca="1">SUM(G86:$G$112)/G85*0.05</f>
        <v>1.2187447680639993</v>
      </c>
      <c r="O85" s="59">
        <f t="shared" ca="1" si="23"/>
        <v>9.4360178674709611E-3</v>
      </c>
      <c r="P85" s="52">
        <f t="shared" ca="1" si="25"/>
        <v>1.150009740733865E-2</v>
      </c>
      <c r="Q85" s="59">
        <f t="shared" ca="1" si="24"/>
        <v>0.73161562894664178</v>
      </c>
      <c r="R85" s="49">
        <f t="shared" ca="1" si="26"/>
        <v>3.0547581138499202E-3</v>
      </c>
      <c r="T85" s="52"/>
    </row>
    <row r="86" spans="6:20" x14ac:dyDescent="0.2">
      <c r="F86" s="25">
        <v>3.8</v>
      </c>
      <c r="G86" s="57">
        <f t="shared" ca="1" si="18"/>
        <v>0.88029341583422238</v>
      </c>
      <c r="H86" s="51">
        <f t="shared" ca="1" si="27"/>
        <v>3.7500000000000443E-2</v>
      </c>
      <c r="I86" s="57">
        <f t="shared" ca="1" si="19"/>
        <v>0</v>
      </c>
      <c r="J86" s="50">
        <f t="shared" ca="1" si="20"/>
        <v>0</v>
      </c>
      <c r="K86" s="59">
        <f ca="1">SwapRate*SUMPRODUCT(G87:$G$112,J87:$J$112)/SUMPRODUCT(G87:$G$112,I87:$I$112)</f>
        <v>3.914994556101456E-2</v>
      </c>
      <c r="L86" s="50">
        <f t="shared" ca="1" si="21"/>
        <v>0.48358452881525227</v>
      </c>
      <c r="M86" s="57">
        <f t="shared" ca="1" si="22"/>
        <v>-3.7551884251958989E-3</v>
      </c>
      <c r="N86" s="50">
        <f ca="1">SUM(G87:$G$112)/G86*0.05</f>
        <v>1.1710320581684879</v>
      </c>
      <c r="O86" s="59">
        <f t="shared" ca="1" si="23"/>
        <v>9.4807156796132067E-3</v>
      </c>
      <c r="P86" s="52">
        <f t="shared" ca="1" si="25"/>
        <v>1.1102221995207707E-2</v>
      </c>
      <c r="Q86" s="59">
        <f t="shared" ca="1" si="24"/>
        <v>0.72857357251139288</v>
      </c>
      <c r="R86" s="49">
        <f t="shared" ca="1" si="26"/>
        <v>3.0420564352489077E-3</v>
      </c>
      <c r="T86" s="52"/>
    </row>
    <row r="87" spans="6:20" x14ac:dyDescent="0.2">
      <c r="F87" s="25">
        <v>3.85</v>
      </c>
      <c r="G87" s="57">
        <f t="shared" ca="1" si="18"/>
        <v>0.8786444121036372</v>
      </c>
      <c r="H87" s="51">
        <f t="shared" ca="1" si="27"/>
        <v>3.7499999999998999E-2</v>
      </c>
      <c r="I87" s="57">
        <f t="shared" ca="1" si="19"/>
        <v>0</v>
      </c>
      <c r="J87" s="50">
        <f t="shared" ca="1" si="20"/>
        <v>0</v>
      </c>
      <c r="K87" s="59">
        <f ca="1">SwapRate*SUMPRODUCT(G88:$G$112,J88:$J$112)/SUMPRODUCT(G88:$G$112,I88:$I$112)</f>
        <v>3.914994556101456E-2</v>
      </c>
      <c r="L87" s="50">
        <f t="shared" ca="1" si="21"/>
        <v>0.48361940241569484</v>
      </c>
      <c r="M87" s="57">
        <f t="shared" ca="1" si="22"/>
        <v>-6.9160193430197747E-3</v>
      </c>
      <c r="N87" s="50">
        <f ca="1">SUM(G88:$G$112)/G87*0.05</f>
        <v>1.1232298030194812</v>
      </c>
      <c r="O87" s="59">
        <f t="shared" ca="1" si="23"/>
        <v>9.5251198530569674E-3</v>
      </c>
      <c r="P87" s="52">
        <f t="shared" ca="1" si="25"/>
        <v>1.0698898496286127E-2</v>
      </c>
      <c r="Q87" s="59">
        <f t="shared" ca="1" si="24"/>
        <v>0.7255441649411889</v>
      </c>
      <c r="R87" s="49">
        <f t="shared" ca="1" si="26"/>
        <v>3.0294075702039791E-3</v>
      </c>
      <c r="T87" s="52"/>
    </row>
    <row r="88" spans="6:20" x14ac:dyDescent="0.2">
      <c r="F88" s="25">
        <v>3.9</v>
      </c>
      <c r="G88" s="57">
        <f t="shared" ca="1" si="18"/>
        <v>0.87699849735821833</v>
      </c>
      <c r="H88" s="51">
        <f t="shared" ca="1" si="27"/>
        <v>3.7499999999998777E-2</v>
      </c>
      <c r="I88" s="57">
        <f t="shared" ca="1" si="19"/>
        <v>0</v>
      </c>
      <c r="J88" s="50">
        <f t="shared" ca="1" si="20"/>
        <v>0</v>
      </c>
      <c r="K88" s="59">
        <f ca="1">SwapRate*SUMPRODUCT(G89:$G$112,J89:$J$112)/SUMPRODUCT(G89:$G$112,I89:$I$112)</f>
        <v>3.914994556101456E-2</v>
      </c>
      <c r="L88" s="50">
        <f t="shared" ca="1" si="21"/>
        <v>0.48367408805809919</v>
      </c>
      <c r="M88" s="57">
        <f t="shared" ca="1" si="22"/>
        <v>-1.0036353395188269E-2</v>
      </c>
      <c r="N88" s="50">
        <f ca="1">SUM(G89:$G$112)/G88*0.05</f>
        <v>1.0753378345621265</v>
      </c>
      <c r="O88" s="59">
        <f t="shared" ca="1" si="23"/>
        <v>9.5692356552224689E-3</v>
      </c>
      <c r="P88" s="52">
        <f t="shared" ca="1" si="25"/>
        <v>1.0290161147901622E-2</v>
      </c>
      <c r="Q88" s="59">
        <f t="shared" ca="1" si="24"/>
        <v>0.72252735364207221</v>
      </c>
      <c r="R88" s="49">
        <f t="shared" ca="1" si="26"/>
        <v>3.016811299116684E-3</v>
      </c>
      <c r="T88" s="52"/>
    </row>
    <row r="89" spans="6:20" x14ac:dyDescent="0.2">
      <c r="F89" s="25">
        <v>3.95</v>
      </c>
      <c r="G89" s="57">
        <f t="shared" ca="1" si="18"/>
        <v>0.875355665811545</v>
      </c>
      <c r="H89" s="51">
        <f t="shared" ca="1" si="27"/>
        <v>3.7499999999998999E-2</v>
      </c>
      <c r="I89" s="57">
        <f t="shared" ca="1" si="19"/>
        <v>0</v>
      </c>
      <c r="J89" s="50">
        <f t="shared" ca="1" si="20"/>
        <v>0</v>
      </c>
      <c r="K89" s="59">
        <f ca="1">SwapRate*SUMPRODUCT(G90:$G$112,J90:$J$112)/SUMPRODUCT(G90:$G$112,I90:$I$112)</f>
        <v>3.914994556101456E-2</v>
      </c>
      <c r="L89" s="50">
        <f t="shared" ca="1" si="21"/>
        <v>0.48374782670265387</v>
      </c>
      <c r="M89" s="57">
        <f t="shared" ca="1" si="22"/>
        <v>-1.3117346156140908E-2</v>
      </c>
      <c r="N89" s="50">
        <f ca="1">SUM(G90:$G$112)/G89*0.05</f>
        <v>1.0273559844261733</v>
      </c>
      <c r="O89" s="59">
        <f t="shared" ca="1" si="23"/>
        <v>9.6130681961421431E-3</v>
      </c>
      <c r="P89" s="52">
        <f t="shared" ca="1" si="25"/>
        <v>9.8760431400035497E-3</v>
      </c>
      <c r="Q89" s="59">
        <f t="shared" ca="1" si="24"/>
        <v>0.71952308623877081</v>
      </c>
      <c r="R89" s="49">
        <f t="shared" ca="1" si="26"/>
        <v>3.0042674033013972E-3</v>
      </c>
      <c r="T89" s="52"/>
    </row>
    <row r="90" spans="6:20" x14ac:dyDescent="0.2">
      <c r="F90" s="25">
        <v>4</v>
      </c>
      <c r="G90" s="57">
        <f t="shared" ca="1" si="18"/>
        <v>0.87371591168803586</v>
      </c>
      <c r="H90" s="51">
        <f t="shared" ca="1" si="27"/>
        <v>3.7499999999999332E-2</v>
      </c>
      <c r="I90" s="57">
        <f t="shared" ca="1" si="19"/>
        <v>1.7415E-2</v>
      </c>
      <c r="J90" s="50">
        <f t="shared" ca="1" si="20"/>
        <v>1.8749999999999666E-2</v>
      </c>
      <c r="K90" s="59">
        <f ca="1">SwapRate*SUMPRODUCT(G91:$G$112,J91:$J$112)/SUMPRODUCT(G91:$G$112,I91:$I$112)</f>
        <v>4.0000000000000736E-2</v>
      </c>
      <c r="L90" s="50">
        <f t="shared" ca="1" si="21"/>
        <v>0.52680073947208972</v>
      </c>
      <c r="M90" s="57">
        <f t="shared" ca="1" si="22"/>
        <v>2.6800739472089719E-2</v>
      </c>
      <c r="N90" s="50">
        <f ca="1">SUM(G91:$G$112)/G90*0.05</f>
        <v>0.97928408392537991</v>
      </c>
      <c r="O90" s="59">
        <f t="shared" ca="1" si="23"/>
        <v>1.0246004636530089E-2</v>
      </c>
      <c r="P90" s="52">
        <f t="shared" ca="1" si="25"/>
        <v>1.0033749264379563E-2</v>
      </c>
      <c r="Q90" s="59">
        <f t="shared" ca="1" si="24"/>
        <v>0.71653131057378927</v>
      </c>
      <c r="R90" s="49">
        <f t="shared" ca="1" si="26"/>
        <v>2.9917756649815441E-3</v>
      </c>
      <c r="T90" s="52"/>
    </row>
    <row r="91" spans="6:20" x14ac:dyDescent="0.2">
      <c r="F91" s="25">
        <v>4.05</v>
      </c>
      <c r="G91" s="57">
        <f t="shared" ref="G91:G110" ca="1" si="28">G90*EXP(-(F91-F90)*IRate5)</f>
        <v>0.87197022613211084</v>
      </c>
      <c r="H91" s="51">
        <f t="shared" ca="1" si="27"/>
        <v>4.0000000000000729E-2</v>
      </c>
      <c r="I91" s="57">
        <f t="shared" ca="1" si="19"/>
        <v>0</v>
      </c>
      <c r="J91" s="50">
        <f t="shared" ca="1" si="20"/>
        <v>0</v>
      </c>
      <c r="K91" s="59">
        <f ca="1">SwapRate*SUMPRODUCT(G92:$G$112,J92:$J$112)/SUMPRODUCT(G92:$G$112,I92:$I$112)</f>
        <v>4.0000000000000736E-2</v>
      </c>
      <c r="L91" s="50">
        <f t="shared" ca="1" si="21"/>
        <v>0.52664443399397165</v>
      </c>
      <c r="M91" s="57">
        <f t="shared" ca="1" si="22"/>
        <v>2.3529139056518988E-2</v>
      </c>
      <c r="N91" s="50">
        <f ca="1">SUM(G92:$G$112)/G91*0.05</f>
        <v>0.93124461196776365</v>
      </c>
      <c r="O91" s="59">
        <f t="shared" ca="1" si="23"/>
        <v>1.0289278435350175E-2</v>
      </c>
      <c r="P91" s="52">
        <f t="shared" ca="1" si="25"/>
        <v>9.5818351039559518E-3</v>
      </c>
      <c r="Q91" s="59">
        <f t="shared" ca="1" si="24"/>
        <v>0.71355197470650245</v>
      </c>
      <c r="R91" s="49">
        <f t="shared" ca="1" si="26"/>
        <v>2.9793358672868253E-3</v>
      </c>
      <c r="T91" s="52"/>
    </row>
    <row r="92" spans="6:20" x14ac:dyDescent="0.2">
      <c r="F92" s="25">
        <v>4.0999999999999996</v>
      </c>
      <c r="G92" s="57">
        <f t="shared" ca="1" si="28"/>
        <v>0.87022802845825298</v>
      </c>
      <c r="H92" s="51">
        <f t="shared" ca="1" si="27"/>
        <v>4.0000000000000174E-2</v>
      </c>
      <c r="I92" s="57">
        <f t="shared" ca="1" si="19"/>
        <v>0</v>
      </c>
      <c r="J92" s="50">
        <f t="shared" ca="1" si="20"/>
        <v>0</v>
      </c>
      <c r="K92" s="59">
        <f ca="1">SwapRate*SUMPRODUCT(G93:$G$112,J93:$J$112)/SUMPRODUCT(G93:$G$112,I93:$I$112)</f>
        <v>4.0000000000000736E-2</v>
      </c>
      <c r="L92" s="50">
        <f t="shared" ca="1" si="21"/>
        <v>0.52650999189253278</v>
      </c>
      <c r="M92" s="57">
        <f t="shared" ca="1" si="22"/>
        <v>2.0298573609618176E-2</v>
      </c>
      <c r="N92" s="50">
        <f ca="1">SUM(G93:$G$112)/G92*0.05</f>
        <v>0.88310896492320379</v>
      </c>
      <c r="O92" s="59">
        <f t="shared" ca="1" si="23"/>
        <v>1.0332289217884663E-2</v>
      </c>
      <c r="P92" s="52">
        <f t="shared" ca="1" si="25"/>
        <v>9.1245372364933044E-3</v>
      </c>
      <c r="Q92" s="59">
        <f t="shared" ca="1" si="24"/>
        <v>0.71058502691225467</v>
      </c>
      <c r="R92" s="49">
        <f t="shared" ca="1" si="26"/>
        <v>2.9669477942477762E-3</v>
      </c>
      <c r="T92" s="52"/>
    </row>
    <row r="93" spans="6:20" x14ac:dyDescent="0.2">
      <c r="F93" s="25">
        <v>4.1500000000000004</v>
      </c>
      <c r="G93" s="57">
        <f t="shared" ca="1" si="28"/>
        <v>0.8684893116976693</v>
      </c>
      <c r="H93" s="51">
        <f t="shared" ca="1" si="27"/>
        <v>3.9999999999998911E-2</v>
      </c>
      <c r="I93" s="57">
        <f t="shared" ca="1" si="19"/>
        <v>0</v>
      </c>
      <c r="J93" s="50">
        <f t="shared" ca="1" si="20"/>
        <v>0</v>
      </c>
      <c r="K93" s="59">
        <f ca="1">SwapRate*SUMPRODUCT(G94:$G$112,J94:$J$112)/SUMPRODUCT(G94:$G$112,I94:$I$112)</f>
        <v>4.0000000000000736E-2</v>
      </c>
      <c r="L93" s="50">
        <f t="shared" ca="1" si="21"/>
        <v>0.52639663784626134</v>
      </c>
      <c r="M93" s="57">
        <f t="shared" ca="1" si="22"/>
        <v>1.7107918159677271E-2</v>
      </c>
      <c r="N93" s="50">
        <f ca="1">SUM(G94:$G$112)/G93*0.05</f>
        <v>0.83487695024904751</v>
      </c>
      <c r="O93" s="59">
        <f t="shared" ca="1" si="23"/>
        <v>1.0375041317070378E-2</v>
      </c>
      <c r="P93" s="52">
        <f t="shared" ca="1" si="25"/>
        <v>8.6618828535035795E-3</v>
      </c>
      <c r="Q93" s="59">
        <f t="shared" ca="1" si="24"/>
        <v>0.70763041568146101</v>
      </c>
      <c r="R93" s="49">
        <f t="shared" ca="1" si="26"/>
        <v>2.9546112307936578E-3</v>
      </c>
      <c r="T93" s="52"/>
    </row>
    <row r="94" spans="6:20" x14ac:dyDescent="0.2">
      <c r="F94" s="25">
        <v>4.2</v>
      </c>
      <c r="G94" s="57">
        <f t="shared" ca="1" si="28"/>
        <v>0.86675406889549034</v>
      </c>
      <c r="H94" s="51">
        <f t="shared" ca="1" si="27"/>
        <v>4.0000000000000729E-2</v>
      </c>
      <c r="I94" s="57">
        <f t="shared" ca="1" si="19"/>
        <v>0</v>
      </c>
      <c r="J94" s="50">
        <f t="shared" ca="1" si="20"/>
        <v>0</v>
      </c>
      <c r="K94" s="59">
        <f ca="1">SwapRate*SUMPRODUCT(G95:$G$112,J95:$J$112)/SUMPRODUCT(G95:$G$112,I95:$I$112)</f>
        <v>4.0000000000000736E-2</v>
      </c>
      <c r="L94" s="50">
        <f t="shared" ca="1" si="21"/>
        <v>0.52630363099201027</v>
      </c>
      <c r="M94" s="57">
        <f t="shared" ca="1" si="22"/>
        <v>1.3956092694030309E-2</v>
      </c>
      <c r="N94" s="50">
        <f ca="1">SUM(G95:$G$112)/G94*0.05</f>
        <v>0.78654837501717223</v>
      </c>
      <c r="O94" s="59">
        <f t="shared" ca="1" si="23"/>
        <v>1.0417538946983291E-2</v>
      </c>
      <c r="P94" s="52">
        <f t="shared" ca="1" si="25"/>
        <v>8.1938983304278117E-3</v>
      </c>
      <c r="Q94" s="59">
        <f t="shared" ca="1" si="24"/>
        <v>0.70468808971871344</v>
      </c>
      <c r="R94" s="49">
        <f t="shared" ca="1" si="26"/>
        <v>2.9423259627475717E-3</v>
      </c>
      <c r="T94" s="52"/>
    </row>
    <row r="95" spans="6:20" x14ac:dyDescent="0.2">
      <c r="F95" s="25">
        <v>4.25</v>
      </c>
      <c r="G95" s="57">
        <f t="shared" ca="1" si="28"/>
        <v>0.86502229311074263</v>
      </c>
      <c r="H95" s="51">
        <f t="shared" ca="1" si="27"/>
        <v>4.0000000000000729E-2</v>
      </c>
      <c r="I95" s="57">
        <f t="shared" ca="1" si="19"/>
        <v>0</v>
      </c>
      <c r="J95" s="50">
        <f t="shared" ca="1" si="20"/>
        <v>0</v>
      </c>
      <c r="K95" s="59">
        <f ca="1">SwapRate*SUMPRODUCT(G96:$G$112,J96:$J$112)/SUMPRODUCT(G96:$G$112,I96:$I$112)</f>
        <v>4.0000000000000736E-2</v>
      </c>
      <c r="L95" s="50">
        <f t="shared" ca="1" si="21"/>
        <v>0.52623026303463361</v>
      </c>
      <c r="M95" s="57">
        <f t="shared" ca="1" si="22"/>
        <v>1.0842059832426032E-2</v>
      </c>
      <c r="N95" s="50">
        <f ca="1">SUM(G96:$G$112)/G95*0.05</f>
        <v>0.73812304591321232</v>
      </c>
      <c r="O95" s="59">
        <f t="shared" ca="1" si="23"/>
        <v>1.0459786207342246E-2</v>
      </c>
      <c r="P95" s="52">
        <f t="shared" ca="1" si="25"/>
        <v>7.720609254964466E-3</v>
      </c>
      <c r="Q95" s="59">
        <f t="shared" ca="1" si="24"/>
        <v>0.70175799794188998</v>
      </c>
      <c r="R95" s="49">
        <f t="shared" ca="1" si="26"/>
        <v>2.9300917768234624E-3</v>
      </c>
      <c r="T95" s="52"/>
    </row>
    <row r="96" spans="6:20" x14ac:dyDescent="0.2">
      <c r="F96" s="25">
        <v>4.3</v>
      </c>
      <c r="G96" s="57">
        <f t="shared" ca="1" si="28"/>
        <v>0.86329397741632075</v>
      </c>
      <c r="H96" s="51">
        <f t="shared" ca="1" si="27"/>
        <v>4.0000000000000729E-2</v>
      </c>
      <c r="I96" s="57">
        <f t="shared" ca="1" si="19"/>
        <v>0</v>
      </c>
      <c r="J96" s="50">
        <f t="shared" ca="1" si="20"/>
        <v>0</v>
      </c>
      <c r="K96" s="59">
        <f ca="1">SwapRate*SUMPRODUCT(G97:$G$112,J97:$J$112)/SUMPRODUCT(G97:$G$112,I97:$I$112)</f>
        <v>4.0000000000000736E-2</v>
      </c>
      <c r="L96" s="50">
        <f t="shared" ca="1" si="21"/>
        <v>0.5261758564803517</v>
      </c>
      <c r="M96" s="57">
        <f t="shared" ca="1" si="22"/>
        <v>7.7648226471587201E-3</v>
      </c>
      <c r="N96" s="50">
        <f ca="1">SUM(G97:$G$112)/G96*0.05</f>
        <v>0.68960076923578695</v>
      </c>
      <c r="O96" s="59">
        <f t="shared" ca="1" si="23"/>
        <v>1.0501787087796793E-2</v>
      </c>
      <c r="P96" s="52">
        <f t="shared" ca="1" si="25"/>
        <v>7.2420404540951234E-3</v>
      </c>
      <c r="Q96" s="59">
        <f t="shared" ca="1" si="24"/>
        <v>0.6988400894812683</v>
      </c>
      <c r="R96" s="49">
        <f t="shared" ca="1" si="26"/>
        <v>2.9179084606216765E-3</v>
      </c>
      <c r="T96" s="52"/>
    </row>
    <row r="97" spans="6:20" x14ac:dyDescent="0.2">
      <c r="F97" s="25">
        <v>4.3499999999999996</v>
      </c>
      <c r="G97" s="57">
        <f t="shared" ca="1" si="28"/>
        <v>0.8615691148989596</v>
      </c>
      <c r="H97" s="51">
        <f t="shared" ca="1" si="27"/>
        <v>4.0000000000000174E-2</v>
      </c>
      <c r="I97" s="57">
        <f t="shared" ca="1" si="19"/>
        <v>0</v>
      </c>
      <c r="J97" s="50">
        <f t="shared" ca="1" si="20"/>
        <v>0</v>
      </c>
      <c r="K97" s="59">
        <f ca="1">SwapRate*SUMPRODUCT(G98:$G$112,J98:$J$112)/SUMPRODUCT(G98:$G$112,I98:$I$112)</f>
        <v>4.0000000000000736E-2</v>
      </c>
      <c r="L97" s="50">
        <f t="shared" ca="1" si="21"/>
        <v>0.52613976298444542</v>
      </c>
      <c r="M97" s="57">
        <f t="shared" ca="1" si="22"/>
        <v>4.7234226190902007E-3</v>
      </c>
      <c r="N97" s="50">
        <f ca="1">SUM(G98:$G$112)/G97*0.05</f>
        <v>0.6409813508957245</v>
      </c>
      <c r="O97" s="59">
        <f t="shared" ca="1" si="23"/>
        <v>1.0543545472011504E-2</v>
      </c>
      <c r="P97" s="52">
        <f t="shared" ca="1" si="25"/>
        <v>6.7582160198804333E-3</v>
      </c>
      <c r="Q97" s="59">
        <f t="shared" ca="1" si="24"/>
        <v>0.695934313678642</v>
      </c>
      <c r="R97" s="49">
        <f t="shared" ca="1" si="26"/>
        <v>2.9057758026262981E-3</v>
      </c>
      <c r="T97" s="52"/>
    </row>
    <row r="98" spans="6:20" x14ac:dyDescent="0.2">
      <c r="F98" s="25">
        <v>4.4000000000000004</v>
      </c>
      <c r="G98" s="57">
        <f t="shared" ca="1" si="28"/>
        <v>0.85984769865920685</v>
      </c>
      <c r="H98" s="51">
        <f t="shared" ca="1" si="27"/>
        <v>3.9999999999998356E-2</v>
      </c>
      <c r="I98" s="57">
        <f t="shared" ca="1" si="19"/>
        <v>0</v>
      </c>
      <c r="J98" s="50">
        <f t="shared" ca="1" si="20"/>
        <v>0</v>
      </c>
      <c r="K98" s="59">
        <f ca="1">SwapRate*SUMPRODUCT(G99:$G$112,J99:$J$112)/SUMPRODUCT(G99:$G$112,I99:$I$112)</f>
        <v>4.0000000000000736E-2</v>
      </c>
      <c r="L98" s="50">
        <f t="shared" ca="1" si="21"/>
        <v>0.52612136180469127</v>
      </c>
      <c r="M98" s="57">
        <f t="shared" ca="1" si="22"/>
        <v>1.7169377196154523E-3</v>
      </c>
      <c r="N98" s="50">
        <f ca="1">SUM(G99:$G$112)/G98*0.05</f>
        <v>0.59226459641528706</v>
      </c>
      <c r="O98" s="59">
        <f t="shared" ca="1" si="23"/>
        <v>1.0585065141558509E-2</v>
      </c>
      <c r="P98" s="52">
        <f t="shared" ca="1" si="25"/>
        <v>6.2691593340946736E-3</v>
      </c>
      <c r="Q98" s="59">
        <f t="shared" ca="1" si="24"/>
        <v>0.69304062008644152</v>
      </c>
      <c r="R98" s="49">
        <f t="shared" ca="1" si="26"/>
        <v>2.8936935922004858E-3</v>
      </c>
      <c r="T98" s="52"/>
    </row>
    <row r="99" spans="6:20" x14ac:dyDescent="0.2">
      <c r="F99" s="25">
        <v>4.45</v>
      </c>
      <c r="G99" s="57">
        <f t="shared" ca="1" si="28"/>
        <v>0.85812972181139513</v>
      </c>
      <c r="H99" s="51">
        <f t="shared" ca="1" si="27"/>
        <v>4.0000000000000729E-2</v>
      </c>
      <c r="I99" s="57">
        <f t="shared" ca="1" si="19"/>
        <v>0</v>
      </c>
      <c r="J99" s="50">
        <f t="shared" ca="1" si="20"/>
        <v>0</v>
      </c>
      <c r="K99" s="59">
        <f ca="1">SwapRate*SUMPRODUCT(G100:$G$112,J100:$J$112)/SUMPRODUCT(G100:$G$112,I100:$I$112)</f>
        <v>4.0000000000000736E-2</v>
      </c>
      <c r="L99" s="50">
        <f t="shared" ca="1" si="21"/>
        <v>0.52612005835268227</v>
      </c>
      <c r="M99" s="57">
        <f t="shared" ca="1" si="22"/>
        <v>-1.2555193905423589E-3</v>
      </c>
      <c r="N99" s="50">
        <f ca="1">SUM(G100:$G$112)/G99*0.05</f>
        <v>0.5434503109273916</v>
      </c>
      <c r="O99" s="59">
        <f t="shared" ca="1" si="23"/>
        <v>1.0626349779628834E-2</v>
      </c>
      <c r="P99" s="52">
        <f t="shared" ca="1" si="25"/>
        <v>5.7748930917625087E-3</v>
      </c>
      <c r="Q99" s="59">
        <f t="shared" ca="1" si="24"/>
        <v>0.69015895846685826</v>
      </c>
      <c r="R99" s="49">
        <f t="shared" ca="1" si="26"/>
        <v>2.8816616195832534E-3</v>
      </c>
      <c r="T99" s="52"/>
    </row>
    <row r="100" spans="6:20" x14ac:dyDescent="0.2">
      <c r="F100" s="25">
        <v>4.5</v>
      </c>
      <c r="G100" s="57">
        <f t="shared" ca="1" si="28"/>
        <v>0.85641517748361484</v>
      </c>
      <c r="H100" s="51">
        <f t="shared" ca="1" si="27"/>
        <v>4.0000000000000729E-2</v>
      </c>
      <c r="I100" s="57">
        <f t="shared" ca="1" si="19"/>
        <v>1.7415E-2</v>
      </c>
      <c r="J100" s="50">
        <f t="shared" ca="1" si="20"/>
        <v>2.0000000000000365E-2</v>
      </c>
      <c r="K100" s="59">
        <f ca="1">SwapRate*SUMPRODUCT(G101:$G$112,J101:$J$112)/SUMPRODUCT(G101:$G$112,I101:$I$112)</f>
        <v>4.0000000000000722E-2</v>
      </c>
      <c r="L100" s="50">
        <f t="shared" ca="1" si="21"/>
        <v>0.5261352828358421</v>
      </c>
      <c r="M100" s="57">
        <f t="shared" ca="1" si="22"/>
        <v>-4.1948030540684966E-3</v>
      </c>
      <c r="N100" s="50">
        <f ca="1">SUM(G101:$G$112)/G100*0.05</f>
        <v>0.49453829917483105</v>
      </c>
      <c r="O100" s="59">
        <f t="shared" ca="1" si="23"/>
        <v>1.0667402974572991E-2</v>
      </c>
      <c r="P100" s="52">
        <f t="shared" ca="1" si="25"/>
        <v>5.2754393236578608E-3</v>
      </c>
      <c r="Q100" s="59">
        <f t="shared" ca="1" si="24"/>
        <v>0.68728927879097224</v>
      </c>
      <c r="R100" s="49">
        <f t="shared" ca="1" si="26"/>
        <v>2.8696796758860277E-3</v>
      </c>
      <c r="T100" s="52"/>
    </row>
    <row r="101" spans="6:20" x14ac:dyDescent="0.2">
      <c r="F101" s="25">
        <v>4.55</v>
      </c>
      <c r="G101" s="57">
        <f t="shared" ca="1" si="28"/>
        <v>0.85470405881768641</v>
      </c>
      <c r="H101" s="51">
        <f t="shared" ca="1" si="27"/>
        <v>3.9999999999999619E-2</v>
      </c>
      <c r="I101" s="57">
        <f t="shared" ca="1" si="19"/>
        <v>0</v>
      </c>
      <c r="J101" s="50">
        <f t="shared" ca="1" si="20"/>
        <v>0</v>
      </c>
      <c r="K101" s="59">
        <f ca="1">SwapRate*SUMPRODUCT(G102:$G$112,J102:$J$112)/SUMPRODUCT(G102:$G$112,I102:$I$112)</f>
        <v>4.0000000000000722E-2</v>
      </c>
      <c r="L101" s="50">
        <f t="shared" ca="1" si="21"/>
        <v>0.52616648898354512</v>
      </c>
      <c r="M101" s="57">
        <f t="shared" ca="1" si="22"/>
        <v>-7.1017362089934588E-3</v>
      </c>
      <c r="N101" s="50">
        <f ca="1">SUM(G102:$G$112)/G101*0.05</f>
        <v>0.44552836550949337</v>
      </c>
      <c r="O101" s="59">
        <f t="shared" ca="1" si="23"/>
        <v>1.0708228223280013E-2</v>
      </c>
      <c r="P101" s="52">
        <f t="shared" ca="1" si="25"/>
        <v>4.7708194178205706E-3</v>
      </c>
      <c r="Q101" s="59">
        <f t="shared" ca="1" si="24"/>
        <v>0.68443153123788358</v>
      </c>
      <c r="R101" s="49">
        <f t="shared" ca="1" si="26"/>
        <v>2.857747553088652E-3</v>
      </c>
      <c r="T101" s="52"/>
    </row>
    <row r="102" spans="6:20" x14ac:dyDescent="0.2">
      <c r="F102" s="25">
        <v>4.5999999999999996</v>
      </c>
      <c r="G102" s="57">
        <f t="shared" ca="1" si="28"/>
        <v>0.85299635896913284</v>
      </c>
      <c r="H102" s="51">
        <f t="shared" ca="1" si="27"/>
        <v>4.0000000000000174E-2</v>
      </c>
      <c r="I102" s="57">
        <f t="shared" ca="1" si="19"/>
        <v>0</v>
      </c>
      <c r="J102" s="50">
        <f t="shared" ca="1" si="20"/>
        <v>0</v>
      </c>
      <c r="K102" s="59">
        <f ca="1">SwapRate*SUMPRODUCT(G103:$G$112,J103:$J$112)/SUMPRODUCT(G103:$G$112,I103:$I$112)</f>
        <v>4.0000000000000722E-2</v>
      </c>
      <c r="L102" s="50">
        <f t="shared" ca="1" si="21"/>
        <v>0.52621315285128756</v>
      </c>
      <c r="M102" s="57">
        <f t="shared" ca="1" si="22"/>
        <v>-9.9771118868928754E-3</v>
      </c>
      <c r="N102" s="50">
        <f ca="1">SUM(G103:$G$112)/G102*0.05</f>
        <v>0.39642031389157834</v>
      </c>
      <c r="O102" s="59">
        <f t="shared" ca="1" si="23"/>
        <v>1.0748828934403914E-2</v>
      </c>
      <c r="P102" s="52">
        <f t="shared" ca="1" si="25"/>
        <v>4.2610541401432792E-3</v>
      </c>
      <c r="Q102" s="59">
        <f t="shared" ca="1" si="24"/>
        <v>0.68158566619384786</v>
      </c>
      <c r="R102" s="49">
        <f t="shared" ca="1" si="26"/>
        <v>2.8458650440357225E-3</v>
      </c>
      <c r="T102" s="52"/>
    </row>
    <row r="103" spans="6:20" x14ac:dyDescent="0.2">
      <c r="F103" s="25">
        <v>4.6500000000000004</v>
      </c>
      <c r="G103" s="57">
        <f t="shared" ca="1" si="28"/>
        <v>0.85129207110715244</v>
      </c>
      <c r="H103" s="51">
        <f t="shared" ca="1" si="27"/>
        <v>4.0000000000000022E-2</v>
      </c>
      <c r="I103" s="57">
        <f t="shared" ca="1" si="19"/>
        <v>0</v>
      </c>
      <c r="J103" s="50">
        <f t="shared" ca="1" si="20"/>
        <v>0</v>
      </c>
      <c r="K103" s="59">
        <f ca="1">SwapRate*SUMPRODUCT(G104:$G$112,J104:$J$112)/SUMPRODUCT(G104:$G$112,I104:$I$112)</f>
        <v>4.0000000000000722E-2</v>
      </c>
      <c r="L103" s="50">
        <f t="shared" ca="1" si="21"/>
        <v>0.52627477169736692</v>
      </c>
      <c r="M103" s="57">
        <f t="shared" ca="1" si="22"/>
        <v>-1.2821694623828761E-2</v>
      </c>
      <c r="N103" s="50">
        <f ca="1">SUM(G104:$G$112)/G103*0.05</f>
        <v>0.3472139478888141</v>
      </c>
      <c r="O103" s="59">
        <f t="shared" ca="1" si="23"/>
        <v>1.0789208431445867E-2</v>
      </c>
      <c r="P103" s="52">
        <f t="shared" ca="1" si="25"/>
        <v>3.7461636540775988E-3</v>
      </c>
      <c r="Q103" s="59">
        <f t="shared" ca="1" si="24"/>
        <v>0.67875163425141438</v>
      </c>
      <c r="R103" s="49">
        <f t="shared" ca="1" si="26"/>
        <v>2.8340319424334792E-3</v>
      </c>
      <c r="T103" s="52"/>
    </row>
    <row r="104" spans="6:20" x14ac:dyDescent="0.2">
      <c r="F104" s="25">
        <v>4.7</v>
      </c>
      <c r="G104" s="57">
        <f t="shared" ca="1" si="28"/>
        <v>0.84959118841459158</v>
      </c>
      <c r="H104" s="51">
        <f t="shared" ca="1" si="27"/>
        <v>3.9999999999999619E-2</v>
      </c>
      <c r="I104" s="57">
        <f t="shared" ca="1" si="19"/>
        <v>0</v>
      </c>
      <c r="J104" s="50">
        <f t="shared" ca="1" si="20"/>
        <v>0</v>
      </c>
      <c r="K104" s="59">
        <f ca="1">SwapRate*SUMPRODUCT(G105:$G$112,J105:$J$112)/SUMPRODUCT(G105:$G$112,I105:$I$112)</f>
        <v>4.0000000000000722E-2</v>
      </c>
      <c r="L104" s="50">
        <f t="shared" ca="1" si="21"/>
        <v>0.52635086292695998</v>
      </c>
      <c r="M104" s="57">
        <f t="shared" ca="1" si="22"/>
        <v>-1.5636221790010008E-2</v>
      </c>
      <c r="N104" s="50">
        <f ca="1">SUM(G105:$G$112)/G104*0.05</f>
        <v>0.29790907067567102</v>
      </c>
      <c r="O104" s="59">
        <f t="shared" ca="1" si="23"/>
        <v>1.0829369955699903E-2</v>
      </c>
      <c r="P104" s="52">
        <f t="shared" ca="1" si="25"/>
        <v>3.2261675395055906E-3</v>
      </c>
      <c r="Q104" s="59">
        <f t="shared" ca="1" si="24"/>
        <v>0.67592938620856846</v>
      </c>
      <c r="R104" s="49">
        <f t="shared" ca="1" si="26"/>
        <v>2.8222480428459207E-3</v>
      </c>
      <c r="T104" s="52"/>
    </row>
    <row r="105" spans="6:20" x14ac:dyDescent="0.2">
      <c r="F105" s="25">
        <v>4.75</v>
      </c>
      <c r="G105" s="57">
        <f t="shared" ca="1" si="28"/>
        <v>0.8478937040879172</v>
      </c>
      <c r="H105" s="51">
        <f t="shared" ca="1" si="27"/>
        <v>3.9999999999998509E-2</v>
      </c>
      <c r="I105" s="57">
        <f t="shared" ca="1" si="19"/>
        <v>0</v>
      </c>
      <c r="J105" s="50">
        <f t="shared" ca="1" si="20"/>
        <v>0</v>
      </c>
      <c r="K105" s="59">
        <f ca="1">SwapRate*SUMPRODUCT(G106:$G$112,J106:$J$112)/SUMPRODUCT(G106:$G$112,I106:$I$112)</f>
        <v>4.0000000000000722E-2</v>
      </c>
      <c r="L105" s="50">
        <f t="shared" ca="1" si="21"/>
        <v>0.52644096309890598</v>
      </c>
      <c r="M105" s="57">
        <f t="shared" ca="1" si="22"/>
        <v>-1.8421404843678268E-2</v>
      </c>
      <c r="N105" s="50">
        <f ca="1">SUM(G106:$G$112)/G105*0.05</f>
        <v>0.2485054850325745</v>
      </c>
      <c r="O105" s="59">
        <f t="shared" ca="1" si="23"/>
        <v>1.0869316669069234E-2</v>
      </c>
      <c r="P105" s="52">
        <f t="shared" ca="1" si="25"/>
        <v>2.7010848108196973E-3</v>
      </c>
      <c r="Q105" s="59">
        <f t="shared" ca="1" si="24"/>
        <v>0.67311887306787721</v>
      </c>
      <c r="R105" s="49">
        <f t="shared" ca="1" si="26"/>
        <v>2.8105131406912509E-3</v>
      </c>
      <c r="T105" s="52"/>
    </row>
    <row r="106" spans="6:20" x14ac:dyDescent="0.2">
      <c r="F106" s="25">
        <v>4.8</v>
      </c>
      <c r="G106" s="57">
        <f t="shared" ca="1" si="28"/>
        <v>0.84619961133718968</v>
      </c>
      <c r="H106" s="51">
        <f t="shared" ca="1" si="27"/>
        <v>3.9999999999999064E-2</v>
      </c>
      <c r="I106" s="57">
        <f t="shared" ca="1" si="19"/>
        <v>0</v>
      </c>
      <c r="J106" s="50">
        <f t="shared" ca="1" si="20"/>
        <v>0</v>
      </c>
      <c r="K106" s="59">
        <f ca="1">SwapRate*SUMPRODUCT(G107:$G$112,J107:$J$112)/SUMPRODUCT(G107:$G$112,I107:$I$112)</f>
        <v>4.0000000000000722E-2</v>
      </c>
      <c r="L106" s="50">
        <f t="shared" ca="1" si="21"/>
        <v>0.52654462699087268</v>
      </c>
      <c r="M106" s="57">
        <f t="shared" ca="1" si="22"/>
        <v>-2.1177930514293397E-2</v>
      </c>
      <c r="N106" s="50">
        <f ca="1">SUM(G107:$G$112)/G106*0.05</f>
        <v>0.19900299334511606</v>
      </c>
      <c r="O106" s="59">
        <f t="shared" ca="1" si="23"/>
        <v>1.0909051656760326E-2</v>
      </c>
      <c r="P106" s="52">
        <f t="shared" ca="1" si="25"/>
        <v>2.1709339342518025E-3</v>
      </c>
      <c r="Q106" s="59">
        <f t="shared" ca="1" si="24"/>
        <v>0.67032004603563933</v>
      </c>
      <c r="R106" s="49">
        <f t="shared" ca="1" si="26"/>
        <v>2.7988270322378828E-3</v>
      </c>
      <c r="T106" s="52"/>
    </row>
    <row r="107" spans="6:20" x14ac:dyDescent="0.2">
      <c r="F107" s="25">
        <v>4.8499999999999996</v>
      </c>
      <c r="G107" s="57">
        <f t="shared" ca="1" si="28"/>
        <v>0.84450890338603579</v>
      </c>
      <c r="H107" s="51">
        <f t="shared" ca="1" si="27"/>
        <v>3.9999999999999064E-2</v>
      </c>
      <c r="I107" s="57">
        <f t="shared" ca="1" si="19"/>
        <v>0</v>
      </c>
      <c r="J107" s="50">
        <f t="shared" ca="1" si="20"/>
        <v>0</v>
      </c>
      <c r="K107" s="59">
        <f ca="1">SwapRate*SUMPRODUCT(G108:$G$112,J108:$J$112)/SUMPRODUCT(G108:$G$112,I108:$I$112)</f>
        <v>4.0000000000000722E-2</v>
      </c>
      <c r="L107" s="50">
        <f ca="1">(LN(K107/SwapRate)+0.5*SwapRateVol^2*F107)/(SwapRateVol*SQRT(F107))</f>
        <v>0.52666142671891925</v>
      </c>
      <c r="M107" s="57">
        <f ca="1">L107-SwapRateVol*SQRT(F107)</f>
        <v>-2.3906461919711797E-2</v>
      </c>
      <c r="N107" s="50">
        <f ca="1">SUM(G108:$G$112)/G107*0.05</f>
        <v>0.14940139760326299</v>
      </c>
      <c r="O107" s="59">
        <f t="shared" ca="1" si="23"/>
        <v>1.0948577929860814E-2</v>
      </c>
      <c r="P107" s="52">
        <f t="shared" ca="1" si="25"/>
        <v>1.6357328444894456E-3</v>
      </c>
      <c r="Q107" s="59">
        <f t="shared" ca="1" si="24"/>
        <v>0.66753285652103733</v>
      </c>
      <c r="R107" s="49">
        <f t="shared" ca="1" si="26"/>
        <v>2.7871895146019954E-3</v>
      </c>
      <c r="T107" s="52"/>
    </row>
    <row r="108" spans="6:20" x14ac:dyDescent="0.2">
      <c r="F108" s="25">
        <v>4.9000000000000004</v>
      </c>
      <c r="G108" s="57">
        <f t="shared" ca="1" si="28"/>
        <v>0.84282157347162145</v>
      </c>
      <c r="H108" s="51">
        <f t="shared" ca="1" si="27"/>
        <v>3.9999999999998356E-2</v>
      </c>
      <c r="I108" s="57">
        <f t="shared" ca="1" si="19"/>
        <v>0</v>
      </c>
      <c r="J108" s="50">
        <f t="shared" ca="1" si="20"/>
        <v>0</v>
      </c>
      <c r="K108" s="59">
        <f ca="1">SwapRate*SUMPRODUCT(G109:$G$112,J109:$J$112)/SUMPRODUCT(G109:$G$112,I109:$I$112)</f>
        <v>4.0000000000000722E-2</v>
      </c>
      <c r="L108" s="50">
        <f ca="1">(LN(K108/SwapRate)+0.5*SwapRateVol^2*F108)/(SwapRateVol*SQRT(F108))</f>
        <v>0.52679095090778305</v>
      </c>
      <c r="M108" s="57">
        <f ca="1">L108-SwapRateVol*SQRT(F108)</f>
        <v>-2.6607639621683332E-2</v>
      </c>
      <c r="N108" s="50">
        <f ca="1">SUM(G109:$G$112)/G108*0.05</f>
        <v>9.9700499400566231E-2</v>
      </c>
      <c r="O108" s="59">
        <f t="shared" ca="1" si="23"/>
        <v>1.0987898427807556E-2</v>
      </c>
      <c r="P108" s="52">
        <f t="shared" ca="1" si="25"/>
        <v>1.0954989606151099E-3</v>
      </c>
      <c r="Q108" s="59">
        <f t="shared" ca="1" si="24"/>
        <v>0.66475725613529435</v>
      </c>
      <c r="R108" s="49">
        <f t="shared" ca="1" si="26"/>
        <v>2.7756003857429823E-3</v>
      </c>
      <c r="T108" s="52"/>
    </row>
    <row r="109" spans="6:20" x14ac:dyDescent="0.2">
      <c r="F109" s="25">
        <v>4.95</v>
      </c>
      <c r="G109" s="57">
        <f t="shared" ca="1" si="28"/>
        <v>0.84113761484462468</v>
      </c>
      <c r="H109" s="51">
        <f t="shared" ca="1" si="27"/>
        <v>4.0000000000000729E-2</v>
      </c>
      <c r="I109" s="57">
        <f t="shared" ca="1" si="19"/>
        <v>0</v>
      </c>
      <c r="J109" s="50">
        <f t="shared" ca="1" si="20"/>
        <v>0</v>
      </c>
      <c r="K109" s="59">
        <f ca="1">SwapRate*SUMPRODUCT(G110:$G$112,J110:$J$112)/SUMPRODUCT(G110:$G$112,I110:$I$112)</f>
        <v>4.0000000000000722E-2</v>
      </c>
      <c r="L109" s="50">
        <f ca="1">(LN(K109/SwapRate)+0.5*SwapRateVol^2*F109)/(SwapRateVol*SQRT(F109))</f>
        <v>0.52693280390849551</v>
      </c>
      <c r="M109" s="57">
        <f ca="1">L109-SwapRateVol*SQRT(F109)</f>
        <v>-2.9282082623679262E-2</v>
      </c>
      <c r="N109" s="50">
        <f ca="1">SUM(G110:$G$112)/G109*0.05</f>
        <v>4.9900099933366658E-2</v>
      </c>
      <c r="O109" s="59">
        <f t="shared" ca="1" si="23"/>
        <v>1.1027016020750274E-2</v>
      </c>
      <c r="P109" s="52">
        <f t="shared" ca="1" si="25"/>
        <v>5.5024920140227382E-4</v>
      </c>
      <c r="Q109" s="59">
        <f t="shared" ca="1" si="24"/>
        <v>0.66199319669083401</v>
      </c>
      <c r="R109" s="49">
        <f t="shared" ca="1" si="26"/>
        <v>2.7640594444603428E-3</v>
      </c>
      <c r="T109" s="52"/>
    </row>
    <row r="110" spans="6:20" ht="13.5" thickBot="1" x14ac:dyDescent="0.25">
      <c r="F110" s="36">
        <v>5</v>
      </c>
      <c r="G110" s="58">
        <f t="shared" ca="1" si="28"/>
        <v>0.83945702076920881</v>
      </c>
      <c r="H110" s="54">
        <f t="shared" ca="1" si="27"/>
        <v>4.0000000000000729E-2</v>
      </c>
      <c r="I110" s="58">
        <f t="shared" ca="1" si="19"/>
        <v>1.7415E-2</v>
      </c>
      <c r="J110" s="53">
        <f t="shared" ca="1" si="20"/>
        <v>2.0000000000000365E-2</v>
      </c>
      <c r="K110" s="60"/>
      <c r="L110" s="55"/>
      <c r="M110" s="62"/>
      <c r="N110" s="53"/>
      <c r="O110" s="60"/>
      <c r="P110" s="55"/>
      <c r="Q110" s="60"/>
      <c r="R110" s="56"/>
    </row>
    <row r="111" spans="6:20" x14ac:dyDescent="0.2">
      <c r="F111" s="6"/>
      <c r="G111" s="7"/>
      <c r="H111" s="46"/>
      <c r="I111" s="7"/>
      <c r="J111" s="7"/>
      <c r="K111" s="47"/>
    </row>
    <row r="112" spans="6:20" x14ac:dyDescent="0.2">
      <c r="F112" s="6"/>
      <c r="G112" s="7"/>
      <c r="H112" s="46"/>
      <c r="I112" s="7"/>
      <c r="J112" s="7"/>
      <c r="K112" s="47"/>
    </row>
    <row r="113" spans="6:7" x14ac:dyDescent="0.2">
      <c r="F113" s="6"/>
      <c r="G113" s="7"/>
    </row>
    <row r="114" spans="6:7" x14ac:dyDescent="0.2">
      <c r="F114" s="6"/>
      <c r="G114" s="7"/>
    </row>
    <row r="115" spans="6:7" x14ac:dyDescent="0.2">
      <c r="F115" s="6"/>
      <c r="G115" s="7"/>
    </row>
    <row r="116" spans="6:7" x14ac:dyDescent="0.2">
      <c r="F116" s="6"/>
      <c r="G116" s="7"/>
    </row>
    <row r="117" spans="6:7" x14ac:dyDescent="0.2">
      <c r="F117" s="6"/>
      <c r="G117" s="7"/>
    </row>
    <row r="118" spans="6:7" x14ac:dyDescent="0.2">
      <c r="F118" s="6"/>
      <c r="G118" s="7"/>
    </row>
    <row r="119" spans="6:7" x14ac:dyDescent="0.2">
      <c r="F119" s="6"/>
      <c r="G119" s="7"/>
    </row>
    <row r="120" spans="6:7" x14ac:dyDescent="0.2">
      <c r="F120" s="6"/>
      <c r="G120" s="7"/>
    </row>
    <row r="121" spans="6:7" x14ac:dyDescent="0.2">
      <c r="F121" s="6"/>
      <c r="G121" s="7"/>
    </row>
    <row r="122" spans="6:7" x14ac:dyDescent="0.2">
      <c r="F122" s="6"/>
      <c r="G122" s="7"/>
    </row>
    <row r="123" spans="6:7" x14ac:dyDescent="0.2">
      <c r="F123" s="6"/>
      <c r="G123" s="7"/>
    </row>
    <row r="124" spans="6:7" x14ac:dyDescent="0.2">
      <c r="F124" s="6"/>
      <c r="G124" s="7"/>
    </row>
    <row r="125" spans="6:7" x14ac:dyDescent="0.2">
      <c r="F125" s="6"/>
      <c r="G125" s="7"/>
    </row>
    <row r="126" spans="6:7" x14ac:dyDescent="0.2">
      <c r="F126" s="6"/>
      <c r="G126" s="7"/>
    </row>
    <row r="127" spans="6:7" x14ac:dyDescent="0.2">
      <c r="F127" s="6"/>
      <c r="G127" s="7"/>
    </row>
    <row r="128" spans="6:7" x14ac:dyDescent="0.2">
      <c r="F128" s="6"/>
      <c r="G128" s="7"/>
    </row>
    <row r="129" spans="6:7" x14ac:dyDescent="0.2">
      <c r="F129" s="6"/>
      <c r="G129" s="7"/>
    </row>
    <row r="130" spans="6:7" x14ac:dyDescent="0.2">
      <c r="F130" s="6"/>
      <c r="G130" s="7"/>
    </row>
    <row r="131" spans="6:7" x14ac:dyDescent="0.2">
      <c r="F131" s="6"/>
      <c r="G131" s="7"/>
    </row>
    <row r="132" spans="6:7" x14ac:dyDescent="0.2">
      <c r="F132" s="6"/>
      <c r="G132" s="7"/>
    </row>
    <row r="133" spans="6:7" x14ac:dyDescent="0.2">
      <c r="F133" s="6"/>
      <c r="G133" s="7"/>
    </row>
    <row r="134" spans="6:7" x14ac:dyDescent="0.2">
      <c r="F134" s="6"/>
      <c r="G134" s="7"/>
    </row>
    <row r="135" spans="6:7" x14ac:dyDescent="0.2">
      <c r="F135" s="6"/>
      <c r="G135" s="7"/>
    </row>
    <row r="136" spans="6:7" x14ac:dyDescent="0.2">
      <c r="F136" s="6"/>
      <c r="G136" s="7"/>
    </row>
    <row r="137" spans="6:7" x14ac:dyDescent="0.2">
      <c r="F137" s="6"/>
      <c r="G137" s="7"/>
    </row>
    <row r="138" spans="6:7" x14ac:dyDescent="0.2">
      <c r="F138" s="6"/>
      <c r="G138" s="7"/>
    </row>
    <row r="139" spans="6:7" x14ac:dyDescent="0.2">
      <c r="F139" s="6"/>
      <c r="G139" s="7"/>
    </row>
    <row r="140" spans="6:7" x14ac:dyDescent="0.2">
      <c r="F140" s="6"/>
      <c r="G140" s="7"/>
    </row>
    <row r="141" spans="6:7" x14ac:dyDescent="0.2">
      <c r="F141" s="6"/>
      <c r="G141" s="7"/>
    </row>
    <row r="142" spans="6:7" x14ac:dyDescent="0.2">
      <c r="F142" s="6"/>
      <c r="G142" s="7"/>
    </row>
    <row r="143" spans="6:7" x14ac:dyDescent="0.2">
      <c r="F143" s="6"/>
      <c r="G143" s="7"/>
    </row>
    <row r="144" spans="6:7" x14ac:dyDescent="0.2">
      <c r="F144" s="6"/>
      <c r="G144" s="7"/>
    </row>
    <row r="145" spans="6:7" x14ac:dyDescent="0.2">
      <c r="F145" s="6"/>
      <c r="G145" s="7"/>
    </row>
    <row r="146" spans="6:7" x14ac:dyDescent="0.2">
      <c r="F146" s="6"/>
      <c r="G146" s="7"/>
    </row>
    <row r="147" spans="6:7" x14ac:dyDescent="0.2">
      <c r="F147" s="6"/>
      <c r="G147" s="7"/>
    </row>
    <row r="148" spans="6:7" x14ac:dyDescent="0.2">
      <c r="F148" s="6"/>
      <c r="G148" s="7"/>
    </row>
    <row r="149" spans="6:7" x14ac:dyDescent="0.2">
      <c r="F149" s="6"/>
      <c r="G149" s="7"/>
    </row>
    <row r="150" spans="6:7" x14ac:dyDescent="0.2">
      <c r="F150" s="6"/>
      <c r="G150" s="7"/>
    </row>
    <row r="151" spans="6:7" x14ac:dyDescent="0.2">
      <c r="F151" s="6"/>
      <c r="G151" s="7"/>
    </row>
  </sheetData>
  <mergeCells count="4">
    <mergeCell ref="B9:C9"/>
    <mergeCell ref="B15:C15"/>
    <mergeCell ref="B22:C22"/>
    <mergeCell ref="B27:C27"/>
  </mergeCells>
  <phoneticPr fontId="27" type="noConversion"/>
  <dataValidations count="2">
    <dataValidation type="list" allowBlank="1" showInputMessage="1" showErrorMessage="1" sqref="C11">
      <formula1>"PAY,REC"</formula1>
    </dataValidation>
    <dataValidation type="list" allowBlank="1" showInputMessage="1" showErrorMessage="1" sqref="C12:C13">
      <formula1>"A, S, Q"</formula1>
    </dataValidation>
  </dataValidations>
  <pageMargins left="0.75" right="0.75" top="1" bottom="1" header="0.5" footer="0.5"/>
  <pageSetup paperSize="9" orientation="portrait" horizontalDpi="200" verticalDpi="20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Spreadsheet12.1</vt:lpstr>
      <vt:lpstr>Spreadsheet12.2</vt:lpstr>
      <vt:lpstr>Spreadsheet12.1!Alpha</vt:lpstr>
      <vt:lpstr>CDSPrem</vt:lpstr>
      <vt:lpstr>Spreadsheet12.1!CntrptyRec</vt:lpstr>
      <vt:lpstr>Spreadsheet12.1!EPE</vt:lpstr>
      <vt:lpstr>HazardRate1</vt:lpstr>
      <vt:lpstr>HazardRate2</vt:lpstr>
      <vt:lpstr>HazardRate3</vt:lpstr>
      <vt:lpstr>HazardRate4</vt:lpstr>
      <vt:lpstr>HazardRate5</vt:lpstr>
      <vt:lpstr>Spreadsheet12.1!IntensityCntrpty</vt:lpstr>
      <vt:lpstr>Spreadsheet12.1!IRate</vt:lpstr>
      <vt:lpstr>IRate1</vt:lpstr>
      <vt:lpstr>IRate2</vt:lpstr>
      <vt:lpstr>IRate3</vt:lpstr>
      <vt:lpstr>IRate4</vt:lpstr>
      <vt:lpstr>IRate5</vt:lpstr>
      <vt:lpstr>Spreadsheet12.1!Mu</vt:lpstr>
      <vt:lpstr>PayFrac</vt:lpstr>
      <vt:lpstr>PayFreq</vt:lpstr>
      <vt:lpstr>PayRec</vt:lpstr>
      <vt:lpstr>Spreadsheet12.1!PFE</vt:lpstr>
      <vt:lpstr>RecFrac</vt:lpstr>
      <vt:lpstr>RecFreq</vt:lpstr>
      <vt:lpstr>Recovery</vt:lpstr>
      <vt:lpstr>Spreadsheet12.1!Sigma</vt:lpstr>
      <vt:lpstr>Spreadsheet12.1!SpreadCntrpty</vt:lpstr>
      <vt:lpstr>SwapRate</vt:lpstr>
      <vt:lpstr>SwapRateVol</vt:lpstr>
    </vt:vector>
  </TitlesOfParts>
  <Company>Home 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</dc:creator>
  <cp:lastModifiedBy>jon</cp:lastModifiedBy>
  <dcterms:created xsi:type="dcterms:W3CDTF">2009-11-27T11:14:55Z</dcterms:created>
  <dcterms:modified xsi:type="dcterms:W3CDTF">2013-01-04T12:31:21Z</dcterms:modified>
</cp:coreProperties>
</file>